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yswong\Pictures\"/>
    </mc:Choice>
  </mc:AlternateContent>
  <bookViews>
    <workbookView xWindow="240" yWindow="75" windowWidth="24795" windowHeight="12060"/>
  </bookViews>
  <sheets>
    <sheet name="Calculator" sheetId="1" r:id="rId1"/>
    <sheet name="Residential" sheetId="2" r:id="rId2"/>
    <sheet name="Workplace" sheetId="3" r:id="rId3"/>
    <sheet name="PPE" sheetId="4" r:id="rId4"/>
    <sheet name="Sports Stadia" sheetId="5" r:id="rId5"/>
    <sheet name="Cinemas" sheetId="6" r:id="rId6"/>
    <sheet name="Arcades" sheetId="7" r:id="rId7"/>
    <sheet name="Religious Institution" sheetId="8" r:id="rId8"/>
    <sheet name="Funeral Parlours" sheetId="9" r:id="rId9"/>
    <sheet name="Restaurants" sheetId="10" r:id="rId10"/>
  </sheets>
  <definedNames>
    <definedName name="_xlnm.Print_Area" localSheetId="6">Arcades!$A$1:$G$81</definedName>
    <definedName name="_xlnm.Print_Area" localSheetId="0">Calculator!$A$1:$V$54</definedName>
    <definedName name="_xlnm.Print_Area" localSheetId="5">Cinemas!$A$1:$F$56</definedName>
    <definedName name="_xlnm.Print_Area" localSheetId="8">'Funeral Parlours'!$A$1:$F$42</definedName>
    <definedName name="_xlnm.Print_Area" localSheetId="3">PPE!$A$1:$H$103</definedName>
    <definedName name="_xlnm.Print_Area" localSheetId="7">'Religious Institution'!$A$1:$F$42</definedName>
    <definedName name="_xlnm.Print_Area" localSheetId="1">Residential!$A$1:$J$97</definedName>
    <definedName name="_xlnm.Print_Area" localSheetId="9">Restaurants!$A$1:$F$95</definedName>
    <definedName name="_xlnm.Print_Area" localSheetId="4">'Sports Stadia'!$A$1:$G$58</definedName>
    <definedName name="_xlnm.Print_Titles" localSheetId="6">Arcades!$1:$4</definedName>
    <definedName name="_xlnm.Print_Titles" localSheetId="5">Cinemas!$1:$3</definedName>
    <definedName name="_xlnm.Print_Titles" localSheetId="1">Residential!$1:$4</definedName>
    <definedName name="_xlnm.Print_Titles" localSheetId="9">Restaurants!$1:$3</definedName>
    <definedName name="_xlnm.Print_Titles" localSheetId="4">'Sports Stadia'!$1:$4</definedName>
    <definedName name="_xlnm.Print_Titles" localSheetId="2">Workplace!$1:$7</definedName>
  </definedNames>
  <calcPr calcId="152511"/>
</workbook>
</file>

<file path=xl/calcChain.xml><?xml version="1.0" encoding="utf-8"?>
<calcChain xmlns="http://schemas.openxmlformats.org/spreadsheetml/2006/main">
  <c r="H16" i="1" l="1"/>
  <c r="I16" i="1" s="1"/>
  <c r="H15" i="1"/>
  <c r="I15" i="1" s="1"/>
  <c r="H14" i="1"/>
  <c r="I14" i="1" s="1"/>
  <c r="H13" i="1"/>
  <c r="I13" i="1" s="1"/>
  <c r="H53" i="1"/>
  <c r="I53" i="1" s="1"/>
  <c r="H49" i="1"/>
  <c r="H45" i="1"/>
  <c r="I45" i="1" s="1"/>
  <c r="H41" i="1"/>
  <c r="I41" i="1" s="1"/>
  <c r="H40" i="1"/>
  <c r="I40" i="1" s="1"/>
  <c r="H35" i="1"/>
  <c r="I35" i="1" s="1"/>
  <c r="H30" i="1"/>
  <c r="I30" i="1" s="1"/>
  <c r="H31" i="1"/>
  <c r="T14" i="1" l="1"/>
  <c r="S14" i="1"/>
  <c r="T15" i="1"/>
  <c r="S15" i="1"/>
  <c r="I31" i="1"/>
  <c r="C3" i="5" s="1"/>
  <c r="I49" i="1"/>
  <c r="L49" i="1" s="1"/>
  <c r="M49" i="1" s="1"/>
  <c r="E2" i="9" s="1"/>
  <c r="S53" i="1"/>
  <c r="T53" i="1"/>
  <c r="T13" i="1"/>
  <c r="S13" i="1"/>
  <c r="T16" i="1"/>
  <c r="S16" i="1"/>
  <c r="C2" i="10"/>
  <c r="J53" i="1"/>
  <c r="K53" i="1" s="1"/>
  <c r="D2" i="10" s="1"/>
  <c r="L53" i="1"/>
  <c r="M53" i="1" s="1"/>
  <c r="E2" i="10" s="1"/>
  <c r="L45" i="1"/>
  <c r="M45" i="1" s="1"/>
  <c r="E2" i="8" s="1"/>
  <c r="C2" i="8"/>
  <c r="J45" i="1"/>
  <c r="K45" i="1" s="1"/>
  <c r="D2" i="8" s="1"/>
  <c r="C2" i="7"/>
  <c r="J40" i="1"/>
  <c r="K40" i="1" s="1"/>
  <c r="D2" i="7" s="1"/>
  <c r="L40" i="1"/>
  <c r="M40" i="1" s="1"/>
  <c r="E2" i="7" s="1"/>
  <c r="C3" i="7"/>
  <c r="L41" i="1"/>
  <c r="M41" i="1" s="1"/>
  <c r="E3" i="7" s="1"/>
  <c r="C51" i="7" s="1"/>
  <c r="D51" i="7" s="1"/>
  <c r="J41" i="1"/>
  <c r="K41" i="1" s="1"/>
  <c r="D3" i="7" s="1"/>
  <c r="C2" i="6"/>
  <c r="J35" i="1"/>
  <c r="K35" i="1" s="1"/>
  <c r="D2" i="6" s="1"/>
  <c r="L35" i="1"/>
  <c r="M35" i="1" s="1"/>
  <c r="E2" i="6" s="1"/>
  <c r="C2" i="5"/>
  <c r="L30" i="1"/>
  <c r="M30" i="1" s="1"/>
  <c r="E2" i="5" s="1"/>
  <c r="J30" i="1"/>
  <c r="K30" i="1" s="1"/>
  <c r="D2" i="5" s="1"/>
  <c r="E15" i="5" s="1"/>
  <c r="F15" i="5" s="1"/>
  <c r="F16" i="5" s="1"/>
  <c r="O30" i="1" s="1"/>
  <c r="H25" i="1"/>
  <c r="I25" i="1" s="1"/>
  <c r="H24" i="1"/>
  <c r="I24" i="1" s="1"/>
  <c r="H23" i="1"/>
  <c r="I23" i="1" s="1"/>
  <c r="H22" i="1"/>
  <c r="I22" i="1" s="1"/>
  <c r="C26" i="9" l="1"/>
  <c r="D26" i="9" s="1"/>
  <c r="D27" i="9" s="1"/>
  <c r="Q49" i="1" s="1"/>
  <c r="E41" i="9"/>
  <c r="F41" i="9" s="1"/>
  <c r="F42" i="9" s="1"/>
  <c r="R49" i="1" s="1"/>
  <c r="J31" i="1"/>
  <c r="K31" i="1" s="1"/>
  <c r="D3" i="5" s="1"/>
  <c r="C20" i="5" s="1"/>
  <c r="D20" i="5" s="1"/>
  <c r="D21" i="5" s="1"/>
  <c r="N31" i="1" s="1"/>
  <c r="J49" i="1"/>
  <c r="K49" i="1" s="1"/>
  <c r="D2" i="9" s="1"/>
  <c r="E14" i="9" s="1"/>
  <c r="F14" i="9" s="1"/>
  <c r="F15" i="9" s="1"/>
  <c r="O49" i="1" s="1"/>
  <c r="L31" i="1"/>
  <c r="M31" i="1" s="1"/>
  <c r="E3" i="5" s="1"/>
  <c r="E57" i="5" s="1"/>
  <c r="F57" i="5" s="1"/>
  <c r="F58" i="5" s="1"/>
  <c r="R31" i="1" s="1"/>
  <c r="C2" i="9"/>
  <c r="C83" i="10"/>
  <c r="D83" i="10" s="1"/>
  <c r="C85" i="10"/>
  <c r="D85" i="10" s="1"/>
  <c r="C84" i="10"/>
  <c r="D84" i="10" s="1"/>
  <c r="C86" i="10"/>
  <c r="D86" i="10" s="1"/>
  <c r="C91" i="10"/>
  <c r="D91" i="10" s="1"/>
  <c r="C94" i="10"/>
  <c r="D94" i="10" s="1"/>
  <c r="C93" i="10"/>
  <c r="D93" i="10" s="1"/>
  <c r="C92" i="10"/>
  <c r="D92" i="10" s="1"/>
  <c r="C53" i="10"/>
  <c r="D53" i="10" s="1"/>
  <c r="C52" i="10"/>
  <c r="D52" i="10" s="1"/>
  <c r="C56" i="10"/>
  <c r="D56" i="10" s="1"/>
  <c r="C55" i="10"/>
  <c r="D55" i="10" s="1"/>
  <c r="C54" i="10"/>
  <c r="D54" i="10" s="1"/>
  <c r="E32" i="10"/>
  <c r="F32" i="10" s="1"/>
  <c r="E28" i="10"/>
  <c r="F28" i="10" s="1"/>
  <c r="C31" i="10"/>
  <c r="D31" i="10" s="1"/>
  <c r="C34" i="10"/>
  <c r="D34" i="10" s="1"/>
  <c r="E33" i="10"/>
  <c r="F33" i="10" s="1"/>
  <c r="E29" i="10"/>
  <c r="F29" i="10" s="1"/>
  <c r="C32" i="10"/>
  <c r="D32" i="10" s="1"/>
  <c r="C28" i="10"/>
  <c r="D28" i="10" s="1"/>
  <c r="E31" i="10"/>
  <c r="F31" i="10" s="1"/>
  <c r="E27" i="10"/>
  <c r="F27" i="10" s="1"/>
  <c r="C30" i="10"/>
  <c r="D30" i="10" s="1"/>
  <c r="C27" i="10"/>
  <c r="D27" i="10" s="1"/>
  <c r="E34" i="10"/>
  <c r="F34" i="10" s="1"/>
  <c r="E30" i="10"/>
  <c r="F30" i="10" s="1"/>
  <c r="C33" i="10"/>
  <c r="D33" i="10" s="1"/>
  <c r="C29" i="10"/>
  <c r="D29" i="10" s="1"/>
  <c r="C14" i="8"/>
  <c r="D14" i="8" s="1"/>
  <c r="D15" i="8" s="1"/>
  <c r="N45" i="1" s="1"/>
  <c r="E14" i="8"/>
  <c r="F14" i="8" s="1"/>
  <c r="F15" i="8" s="1"/>
  <c r="O45" i="1" s="1"/>
  <c r="C41" i="9"/>
  <c r="D41" i="9" s="1"/>
  <c r="D42" i="9" s="1"/>
  <c r="P49" i="1" s="1"/>
  <c r="C57" i="5"/>
  <c r="D57" i="5" s="1"/>
  <c r="D58" i="5" s="1"/>
  <c r="P31" i="1" s="1"/>
  <c r="E20" i="5"/>
  <c r="F20" i="5" s="1"/>
  <c r="F21" i="5" s="1"/>
  <c r="O31" i="1" s="1"/>
  <c r="E41" i="8"/>
  <c r="F41" i="8" s="1"/>
  <c r="F42" i="8" s="1"/>
  <c r="R45" i="1" s="1"/>
  <c r="C26" i="8"/>
  <c r="D26" i="8" s="1"/>
  <c r="D27" i="8" s="1"/>
  <c r="Q45" i="1" s="1"/>
  <c r="C41" i="8"/>
  <c r="D41" i="8" s="1"/>
  <c r="D42" i="8" s="1"/>
  <c r="P45" i="1" s="1"/>
  <c r="C16" i="7"/>
  <c r="D16" i="7" s="1"/>
  <c r="C74" i="7"/>
  <c r="D74" i="7" s="1"/>
  <c r="C73" i="7"/>
  <c r="D73" i="7" s="1"/>
  <c r="E73" i="7"/>
  <c r="F73" i="7" s="1"/>
  <c r="E74" i="7"/>
  <c r="F74" i="7" s="1"/>
  <c r="C79" i="7"/>
  <c r="D79" i="7" s="1"/>
  <c r="C80" i="7"/>
  <c r="D80" i="7" s="1"/>
  <c r="E79" i="7"/>
  <c r="F79" i="7" s="1"/>
  <c r="E80" i="7"/>
  <c r="F80" i="7" s="1"/>
  <c r="C49" i="7"/>
  <c r="D49" i="7" s="1"/>
  <c r="C48" i="7"/>
  <c r="D48" i="7" s="1"/>
  <c r="C50" i="7"/>
  <c r="D50" i="7" s="1"/>
  <c r="C43" i="7"/>
  <c r="D43" i="7" s="1"/>
  <c r="C40" i="7"/>
  <c r="D40" i="7" s="1"/>
  <c r="C42" i="7"/>
  <c r="D42" i="7" s="1"/>
  <c r="C41" i="7"/>
  <c r="D41" i="7" s="1"/>
  <c r="C17" i="7"/>
  <c r="D17" i="7" s="1"/>
  <c r="E16" i="7"/>
  <c r="F16" i="7" s="1"/>
  <c r="E17" i="7"/>
  <c r="F17" i="7" s="1"/>
  <c r="E22" i="7"/>
  <c r="F22" i="7" s="1"/>
  <c r="C23" i="7"/>
  <c r="D23" i="7" s="1"/>
  <c r="C22" i="7"/>
  <c r="D22" i="7" s="1"/>
  <c r="E23" i="7"/>
  <c r="F23" i="7" s="1"/>
  <c r="E55" i="6"/>
  <c r="F55" i="6" s="1"/>
  <c r="F56" i="6" s="1"/>
  <c r="R35" i="1" s="1"/>
  <c r="C39" i="6"/>
  <c r="D39" i="6" s="1"/>
  <c r="C40" i="6"/>
  <c r="D40" i="6" s="1"/>
  <c r="C37" i="6"/>
  <c r="D37" i="6" s="1"/>
  <c r="C38" i="6"/>
  <c r="D38" i="6" s="1"/>
  <c r="C55" i="6"/>
  <c r="D55" i="6" s="1"/>
  <c r="D56" i="6" s="1"/>
  <c r="P35" i="1" s="1"/>
  <c r="E18" i="6"/>
  <c r="F18" i="6" s="1"/>
  <c r="C17" i="6"/>
  <c r="D17" i="6" s="1"/>
  <c r="C20" i="6"/>
  <c r="D20" i="6" s="1"/>
  <c r="E17" i="6"/>
  <c r="F17" i="6" s="1"/>
  <c r="C19" i="6"/>
  <c r="D19" i="6" s="1"/>
  <c r="E20" i="6"/>
  <c r="F20" i="6" s="1"/>
  <c r="C18" i="6"/>
  <c r="D18" i="6" s="1"/>
  <c r="E19" i="6"/>
  <c r="F19" i="6" s="1"/>
  <c r="C15" i="5"/>
  <c r="D15" i="5" s="1"/>
  <c r="D16" i="5" s="1"/>
  <c r="N30" i="1" s="1"/>
  <c r="C52" i="5"/>
  <c r="D52" i="5" s="1"/>
  <c r="D53" i="5" s="1"/>
  <c r="P30" i="1" s="1"/>
  <c r="C32" i="5"/>
  <c r="D32" i="5" s="1"/>
  <c r="D33" i="5" s="1"/>
  <c r="Q30" i="1" s="1"/>
  <c r="E52" i="5"/>
  <c r="F52" i="5" s="1"/>
  <c r="F53" i="5" s="1"/>
  <c r="R30" i="1" s="1"/>
  <c r="L23" i="1"/>
  <c r="M23" i="1" s="1"/>
  <c r="E3" i="4" s="1"/>
  <c r="C3" i="4"/>
  <c r="J23" i="1"/>
  <c r="K23" i="1" s="1"/>
  <c r="D3" i="4" s="1"/>
  <c r="C92" i="4" s="1"/>
  <c r="D92" i="4" s="1"/>
  <c r="D93" i="4" s="1"/>
  <c r="P23" i="1" s="1"/>
  <c r="C4" i="4"/>
  <c r="J24" i="1"/>
  <c r="K24" i="1" s="1"/>
  <c r="D4" i="4" s="1"/>
  <c r="C97" i="4" s="1"/>
  <c r="D97" i="4" s="1"/>
  <c r="D98" i="4" s="1"/>
  <c r="P24" i="1" s="1"/>
  <c r="L24" i="1"/>
  <c r="M24" i="1" s="1"/>
  <c r="E4" i="4" s="1"/>
  <c r="C5" i="4"/>
  <c r="L25" i="1"/>
  <c r="M25" i="1" s="1"/>
  <c r="E5" i="4" s="1"/>
  <c r="J25" i="1"/>
  <c r="K25" i="1" s="1"/>
  <c r="D5" i="4" s="1"/>
  <c r="C102" i="4" s="1"/>
  <c r="D102" i="4" s="1"/>
  <c r="D103" i="4" s="1"/>
  <c r="P25" i="1" s="1"/>
  <c r="C2" i="4"/>
  <c r="L22" i="1"/>
  <c r="M22" i="1" s="1"/>
  <c r="E2" i="4" s="1"/>
  <c r="J22" i="1"/>
  <c r="K22" i="1" s="1"/>
  <c r="D2" i="4" s="1"/>
  <c r="C87" i="4" s="1"/>
  <c r="D87" i="4" s="1"/>
  <c r="D88" i="4" s="1"/>
  <c r="P22" i="1" s="1"/>
  <c r="H7" i="1"/>
  <c r="I7" i="1" s="1"/>
  <c r="H8" i="1"/>
  <c r="I8" i="1" s="1"/>
  <c r="L8" i="1" s="1"/>
  <c r="M8" i="1" s="1"/>
  <c r="E3" i="2" s="1"/>
  <c r="C14" i="9" l="1"/>
  <c r="D14" i="9" s="1"/>
  <c r="D15" i="9" s="1"/>
  <c r="N49" i="1" s="1"/>
  <c r="C37" i="5"/>
  <c r="D37" i="5" s="1"/>
  <c r="D38" i="5" s="1"/>
  <c r="Q31" i="1" s="1"/>
  <c r="D18" i="7"/>
  <c r="N40" i="1" s="1"/>
  <c r="E97" i="4"/>
  <c r="F97" i="4" s="1"/>
  <c r="F98" i="4" s="1"/>
  <c r="R24" i="1" s="1"/>
  <c r="C65" i="4"/>
  <c r="D65" i="4" s="1"/>
  <c r="E92" i="4"/>
  <c r="F92" i="4" s="1"/>
  <c r="F93" i="4" s="1"/>
  <c r="R23" i="1" s="1"/>
  <c r="C59" i="4"/>
  <c r="D59" i="4" s="1"/>
  <c r="E87" i="4"/>
  <c r="F87" i="4" s="1"/>
  <c r="F88" i="4" s="1"/>
  <c r="R22" i="1" s="1"/>
  <c r="C53" i="4"/>
  <c r="D53" i="4" s="1"/>
  <c r="E102" i="4"/>
  <c r="F102" i="4" s="1"/>
  <c r="F103" i="4" s="1"/>
  <c r="R25" i="1" s="1"/>
  <c r="C71" i="4"/>
  <c r="D71" i="4" s="1"/>
  <c r="D95" i="10"/>
  <c r="R53" i="1" s="1"/>
  <c r="D87" i="10"/>
  <c r="P53" i="1" s="1"/>
  <c r="D57" i="10"/>
  <c r="Q53" i="1" s="1"/>
  <c r="D35" i="10"/>
  <c r="N53" i="1" s="1"/>
  <c r="F35" i="10"/>
  <c r="O53" i="1" s="1"/>
  <c r="D81" i="7"/>
  <c r="P41" i="1" s="1"/>
  <c r="D75" i="7"/>
  <c r="P40" i="1" s="1"/>
  <c r="F75" i="7"/>
  <c r="R40" i="1" s="1"/>
  <c r="F81" i="7"/>
  <c r="R41" i="1" s="1"/>
  <c r="D52" i="7"/>
  <c r="Q41" i="1" s="1"/>
  <c r="D44" i="7"/>
  <c r="Q40" i="1" s="1"/>
  <c r="F24" i="7"/>
  <c r="O41" i="1" s="1"/>
  <c r="F18" i="7"/>
  <c r="O40" i="1" s="1"/>
  <c r="D24" i="7"/>
  <c r="N41" i="1" s="1"/>
  <c r="D41" i="6"/>
  <c r="Q35" i="1" s="1"/>
  <c r="D21" i="6"/>
  <c r="N35" i="1" s="1"/>
  <c r="F21" i="6"/>
  <c r="O35" i="1" s="1"/>
  <c r="C66" i="4"/>
  <c r="D66" i="4" s="1"/>
  <c r="C60" i="4"/>
  <c r="D60" i="4" s="1"/>
  <c r="C72" i="4"/>
  <c r="D72" i="4" s="1"/>
  <c r="C54" i="4"/>
  <c r="D54" i="4" s="1"/>
  <c r="E26" i="4"/>
  <c r="F26" i="4" s="1"/>
  <c r="E25" i="4"/>
  <c r="F25" i="4" s="1"/>
  <c r="C26" i="4"/>
  <c r="D26" i="4" s="1"/>
  <c r="C25" i="4"/>
  <c r="D25" i="4" s="1"/>
  <c r="E31" i="4"/>
  <c r="F31" i="4" s="1"/>
  <c r="C31" i="4"/>
  <c r="D31" i="4" s="1"/>
  <c r="E32" i="4"/>
  <c r="F32" i="4" s="1"/>
  <c r="C32" i="4"/>
  <c r="D32" i="4" s="1"/>
  <c r="E37" i="4"/>
  <c r="F37" i="4" s="1"/>
  <c r="E38" i="4"/>
  <c r="F38" i="4" s="1"/>
  <c r="C37" i="4"/>
  <c r="D37" i="4" s="1"/>
  <c r="C38" i="4"/>
  <c r="D38" i="4" s="1"/>
  <c r="C20" i="4"/>
  <c r="D20" i="4" s="1"/>
  <c r="E19" i="4"/>
  <c r="F19" i="4" s="1"/>
  <c r="C19" i="4"/>
  <c r="D19" i="4" s="1"/>
  <c r="E20" i="4"/>
  <c r="F20" i="4" s="1"/>
  <c r="E51" i="2"/>
  <c r="E50" i="2"/>
  <c r="C3" i="2"/>
  <c r="J8" i="1"/>
  <c r="K8" i="1" s="1"/>
  <c r="D3" i="2" s="1"/>
  <c r="L7" i="1"/>
  <c r="M7" i="1" s="1"/>
  <c r="E2" i="2" s="1"/>
  <c r="C2" i="2"/>
  <c r="J7" i="1"/>
  <c r="K7" i="1" s="1"/>
  <c r="D2" i="2" s="1"/>
  <c r="H17" i="1"/>
  <c r="I17" i="1" s="1"/>
  <c r="S17" i="1" l="1"/>
  <c r="T17" i="1"/>
  <c r="D67" i="4"/>
  <c r="Q24" i="1" s="1"/>
  <c r="D61" i="4"/>
  <c r="Q23" i="1" s="1"/>
  <c r="D73" i="4"/>
  <c r="Q25" i="1" s="1"/>
  <c r="D27" i="4"/>
  <c r="N23" i="1" s="1"/>
  <c r="D55" i="4"/>
  <c r="Q22" i="1" s="1"/>
  <c r="F39" i="4"/>
  <c r="O25" i="1" s="1"/>
  <c r="D39" i="4"/>
  <c r="N25" i="1" s="1"/>
  <c r="F27" i="4"/>
  <c r="O23" i="1" s="1"/>
  <c r="D33" i="4"/>
  <c r="N24" i="1" s="1"/>
  <c r="F33" i="4"/>
  <c r="O24" i="1" s="1"/>
  <c r="D21" i="4"/>
  <c r="N22" i="1" s="1"/>
  <c r="F21" i="4"/>
  <c r="O22" i="1" s="1"/>
  <c r="C74" i="2"/>
  <c r="D74" i="2" s="1"/>
  <c r="E74" i="2"/>
  <c r="C73" i="2"/>
  <c r="D73" i="2" s="1"/>
  <c r="C51" i="2"/>
  <c r="D51" i="2" s="1"/>
  <c r="E73" i="2"/>
  <c r="F73" i="2" s="1"/>
  <c r="C50" i="2"/>
  <c r="D50" i="2" s="1"/>
  <c r="C95" i="2"/>
  <c r="D95" i="2" s="1"/>
  <c r="E96" i="2"/>
  <c r="F96" i="2" s="1"/>
  <c r="C96" i="2"/>
  <c r="D96" i="2" s="1"/>
  <c r="C24" i="2"/>
  <c r="D24" i="2" s="1"/>
  <c r="E95" i="2"/>
  <c r="F95" i="2" s="1"/>
  <c r="C23" i="2"/>
  <c r="D23" i="2" s="1"/>
  <c r="C77" i="2"/>
  <c r="D77" i="2" s="1"/>
  <c r="F50" i="2"/>
  <c r="E45" i="2"/>
  <c r="F45" i="2" s="1"/>
  <c r="E44" i="2"/>
  <c r="C90" i="2"/>
  <c r="D90" i="2" s="1"/>
  <c r="C89" i="2"/>
  <c r="D89" i="2" s="1"/>
  <c r="E90" i="2"/>
  <c r="F90" i="2" s="1"/>
  <c r="E89" i="2"/>
  <c r="F89" i="2" s="1"/>
  <c r="C16" i="2"/>
  <c r="D16" i="2" s="1"/>
  <c r="C17" i="2"/>
  <c r="D17" i="2" s="1"/>
  <c r="E64" i="2"/>
  <c r="F64" i="2" s="1"/>
  <c r="C65" i="2"/>
  <c r="D65" i="2" s="1"/>
  <c r="C64" i="2"/>
  <c r="D64" i="2" s="1"/>
  <c r="C44" i="2"/>
  <c r="D44" i="2" s="1"/>
  <c r="E65" i="2"/>
  <c r="F65" i="2" s="1"/>
  <c r="C45" i="2"/>
  <c r="D45" i="2" s="1"/>
  <c r="L17" i="1"/>
  <c r="M17" i="1" s="1"/>
  <c r="E6" i="3" s="1"/>
  <c r="C6" i="3"/>
  <c r="L16" i="1"/>
  <c r="M16" i="1" s="1"/>
  <c r="E5" i="3" s="1"/>
  <c r="C93" i="3" s="1"/>
  <c r="C5" i="3"/>
  <c r="J15" i="1"/>
  <c r="K15" i="1" s="1"/>
  <c r="D4" i="3" s="1"/>
  <c r="C4" i="3"/>
  <c r="L14" i="1"/>
  <c r="M14" i="1" s="1"/>
  <c r="E3" i="3" s="1"/>
  <c r="C3" i="3"/>
  <c r="L13" i="1"/>
  <c r="M13" i="1" s="1"/>
  <c r="E2" i="3" s="1"/>
  <c r="C2" i="3"/>
  <c r="F74" i="2"/>
  <c r="F51" i="2"/>
  <c r="C78" i="2"/>
  <c r="D78" i="2" s="1"/>
  <c r="J16" i="1"/>
  <c r="K16" i="1" s="1"/>
  <c r="D5" i="3" s="1"/>
  <c r="J17" i="1"/>
  <c r="K17" i="1" s="1"/>
  <c r="D6" i="3" s="1"/>
  <c r="L15" i="1"/>
  <c r="M15" i="1" s="1"/>
  <c r="E4" i="3" s="1"/>
  <c r="J14" i="1"/>
  <c r="K14" i="1" s="1"/>
  <c r="D3" i="3" s="1"/>
  <c r="J13" i="1"/>
  <c r="K13" i="1" s="1"/>
  <c r="D2" i="3" s="1"/>
  <c r="C87" i="3" l="1"/>
  <c r="D87" i="3" s="1"/>
  <c r="C86" i="3"/>
  <c r="D86" i="3" s="1"/>
  <c r="C80" i="3"/>
  <c r="D80" i="3" s="1"/>
  <c r="C81" i="3"/>
  <c r="C79" i="3"/>
  <c r="D79" i="3" s="1"/>
  <c r="C73" i="3"/>
  <c r="D73" i="3" s="1"/>
  <c r="C72" i="3"/>
  <c r="D72" i="3" s="1"/>
  <c r="C74" i="3"/>
  <c r="D74" i="3" s="1"/>
  <c r="F75" i="2"/>
  <c r="O8" i="1" s="1"/>
  <c r="D25" i="2"/>
  <c r="S8" i="1" s="1"/>
  <c r="F97" i="2"/>
  <c r="V8" i="1" s="1"/>
  <c r="D97" i="2"/>
  <c r="U8" i="1" s="1"/>
  <c r="D75" i="2"/>
  <c r="F52" i="2"/>
  <c r="Q8" i="1" s="1"/>
  <c r="D52" i="2"/>
  <c r="F66" i="2"/>
  <c r="O7" i="1" s="1"/>
  <c r="D91" i="2"/>
  <c r="U7" i="1" s="1"/>
  <c r="D66" i="2"/>
  <c r="D18" i="2"/>
  <c r="S7" i="1" s="1"/>
  <c r="D46" i="2"/>
  <c r="F91" i="2"/>
  <c r="V7" i="1" s="1"/>
  <c r="F44" i="2"/>
  <c r="F46" i="2" s="1"/>
  <c r="Q7" i="1" s="1"/>
  <c r="C68" i="2"/>
  <c r="D68" i="2" s="1"/>
  <c r="E149" i="3"/>
  <c r="F149" i="3" s="1"/>
  <c r="E150" i="3"/>
  <c r="C150" i="3"/>
  <c r="D150" i="3" s="1"/>
  <c r="C149" i="3"/>
  <c r="D149" i="3" s="1"/>
  <c r="E144" i="3"/>
  <c r="F144" i="3" s="1"/>
  <c r="E143" i="3"/>
  <c r="F143" i="3" s="1"/>
  <c r="C144" i="3"/>
  <c r="D144" i="3" s="1"/>
  <c r="C143" i="3"/>
  <c r="D143" i="3" s="1"/>
  <c r="C137" i="3"/>
  <c r="D137" i="3" s="1"/>
  <c r="C138" i="3"/>
  <c r="D138" i="3" s="1"/>
  <c r="E137" i="3"/>
  <c r="F137" i="3" s="1"/>
  <c r="E138" i="3"/>
  <c r="F138" i="3" s="1"/>
  <c r="E132" i="3"/>
  <c r="F132" i="3" s="1"/>
  <c r="E131" i="3"/>
  <c r="F131" i="3" s="1"/>
  <c r="C132" i="3"/>
  <c r="D132" i="3" s="1"/>
  <c r="C131" i="3"/>
  <c r="D131" i="3" s="1"/>
  <c r="C126" i="3"/>
  <c r="D126" i="3" s="1"/>
  <c r="C125" i="3"/>
  <c r="D125" i="3" s="1"/>
  <c r="E126" i="3"/>
  <c r="F126" i="3" s="1"/>
  <c r="E125" i="3"/>
  <c r="F125" i="3" s="1"/>
  <c r="C88" i="3"/>
  <c r="D88" i="3" s="1"/>
  <c r="D81" i="3"/>
  <c r="C94" i="3"/>
  <c r="D94" i="3" s="1"/>
  <c r="D93" i="3"/>
  <c r="C95" i="3"/>
  <c r="D95" i="3" s="1"/>
  <c r="C100" i="3"/>
  <c r="D100" i="3" s="1"/>
  <c r="C102" i="3"/>
  <c r="D102" i="3" s="1"/>
  <c r="C101" i="3"/>
  <c r="D101" i="3" s="1"/>
  <c r="E35" i="3"/>
  <c r="F35" i="3" s="1"/>
  <c r="E34" i="3"/>
  <c r="F34" i="3" s="1"/>
  <c r="E33" i="3"/>
  <c r="F33" i="3" s="1"/>
  <c r="C35" i="3"/>
  <c r="D35" i="3" s="1"/>
  <c r="C34" i="3"/>
  <c r="D34" i="3" s="1"/>
  <c r="C33" i="3"/>
  <c r="D33" i="3" s="1"/>
  <c r="E42" i="3"/>
  <c r="F42" i="3" s="1"/>
  <c r="E41" i="3"/>
  <c r="F41" i="3" s="1"/>
  <c r="E40" i="3"/>
  <c r="F40" i="3" s="1"/>
  <c r="C42" i="3"/>
  <c r="D42" i="3" s="1"/>
  <c r="C41" i="3"/>
  <c r="D41" i="3" s="1"/>
  <c r="C40" i="3"/>
  <c r="D40" i="3" s="1"/>
  <c r="E56" i="3"/>
  <c r="F56" i="3" s="1"/>
  <c r="E55" i="3"/>
  <c r="F55" i="3" s="1"/>
  <c r="E54" i="3"/>
  <c r="F54" i="3" s="1"/>
  <c r="C56" i="3"/>
  <c r="D56" i="3" s="1"/>
  <c r="C55" i="3"/>
  <c r="D55" i="3" s="1"/>
  <c r="C54" i="3"/>
  <c r="D54" i="3" s="1"/>
  <c r="E49" i="3"/>
  <c r="F49" i="3" s="1"/>
  <c r="E48" i="3"/>
  <c r="F48" i="3" s="1"/>
  <c r="E47" i="3"/>
  <c r="F47" i="3" s="1"/>
  <c r="C49" i="3"/>
  <c r="D49" i="3" s="1"/>
  <c r="C48" i="3"/>
  <c r="D48" i="3" s="1"/>
  <c r="C47" i="3"/>
  <c r="D47" i="3" s="1"/>
  <c r="E27" i="3"/>
  <c r="F27" i="3" s="1"/>
  <c r="E26" i="3"/>
  <c r="F26" i="3" s="1"/>
  <c r="C26" i="3"/>
  <c r="D26" i="3" s="1"/>
  <c r="E28" i="3"/>
  <c r="F28" i="3" s="1"/>
  <c r="C28" i="3"/>
  <c r="D28" i="3" s="1"/>
  <c r="C27" i="3"/>
  <c r="D27" i="3" s="1"/>
  <c r="F150" i="3"/>
  <c r="C69" i="2"/>
  <c r="D69" i="2" s="1"/>
  <c r="F139" i="3" l="1"/>
  <c r="D103" i="3"/>
  <c r="F145" i="3"/>
  <c r="F133" i="3"/>
  <c r="F151" i="3"/>
  <c r="R17" i="1" s="1"/>
  <c r="F127" i="3"/>
  <c r="R13" i="1" s="1"/>
  <c r="D133" i="3"/>
  <c r="P14" i="1" s="1"/>
  <c r="D145" i="3"/>
  <c r="P16" i="1" s="1"/>
  <c r="D151" i="3"/>
  <c r="P17" i="1" s="1"/>
  <c r="Q17" i="1"/>
  <c r="D139" i="3"/>
  <c r="P15" i="1" s="1"/>
  <c r="D127" i="3"/>
  <c r="P13" i="1" s="1"/>
  <c r="D96" i="3"/>
  <c r="Q16" i="1" s="1"/>
  <c r="D89" i="3"/>
  <c r="Q15" i="1" s="1"/>
  <c r="D82" i="3"/>
  <c r="Q14" i="1" s="1"/>
  <c r="D75" i="3"/>
  <c r="Q13" i="1" s="1"/>
  <c r="F57" i="3"/>
  <c r="O17" i="1" s="1"/>
  <c r="D57" i="3"/>
  <c r="N17" i="1" s="1"/>
  <c r="R15" i="1"/>
  <c r="D50" i="3"/>
  <c r="N16" i="1" s="1"/>
  <c r="F36" i="3"/>
  <c r="O14" i="1" s="1"/>
  <c r="F50" i="3"/>
  <c r="O16" i="1" s="1"/>
  <c r="D43" i="3"/>
  <c r="N15" i="1" s="1"/>
  <c r="F43" i="3"/>
  <c r="O15" i="1" s="1"/>
  <c r="D36" i="3"/>
  <c r="N14" i="1" s="1"/>
  <c r="D29" i="3"/>
  <c r="N13" i="1" s="1"/>
  <c r="F29" i="3"/>
  <c r="O13" i="1" s="1"/>
  <c r="R16" i="1"/>
  <c r="R14" i="1"/>
  <c r="J46" i="2"/>
  <c r="J52" i="2"/>
  <c r="J45" i="2"/>
  <c r="N7" i="1" s="1"/>
  <c r="J51" i="2"/>
  <c r="N8" i="1" s="1"/>
</calcChain>
</file>

<file path=xl/sharedStrings.xml><?xml version="1.0" encoding="utf-8"?>
<sst xmlns="http://schemas.openxmlformats.org/spreadsheetml/2006/main" count="1121" uniqueCount="460">
  <si>
    <t>Total Population</t>
    <phoneticPr fontId="1" type="noConversion"/>
  </si>
  <si>
    <t>No. of Male</t>
    <phoneticPr fontId="1" type="noConversion"/>
  </si>
  <si>
    <t>No. of Female</t>
    <phoneticPr fontId="1" type="noConversion"/>
  </si>
  <si>
    <t>Building Use</t>
    <phoneticPr fontId="1" type="noConversion"/>
  </si>
  <si>
    <t>Total Population
(round up)</t>
    <phoneticPr fontId="1" type="noConversion"/>
  </si>
  <si>
    <t>No. of Male
(round up)</t>
    <phoneticPr fontId="1" type="noConversion"/>
  </si>
  <si>
    <t>No. of Female
(round up)</t>
    <phoneticPr fontId="1" type="noConversion"/>
  </si>
  <si>
    <t>No. of WC</t>
    <phoneticPr fontId="1" type="noConversion"/>
  </si>
  <si>
    <t>No. of Urinal</t>
    <phoneticPr fontId="1" type="noConversion"/>
  </si>
  <si>
    <t>No. of Basin</t>
    <phoneticPr fontId="1" type="noConversion"/>
  </si>
  <si>
    <t>Male</t>
    <phoneticPr fontId="1" type="noConversion"/>
  </si>
  <si>
    <t>Female</t>
    <phoneticPr fontId="1" type="noConversion"/>
  </si>
  <si>
    <t>A</t>
    <phoneticPr fontId="1" type="noConversion"/>
  </si>
  <si>
    <t>B</t>
    <phoneticPr fontId="1" type="noConversion"/>
  </si>
  <si>
    <t>Table 1</t>
    <phoneticPr fontId="1" type="noConversion"/>
  </si>
  <si>
    <t>Not more than 8</t>
    <phoneticPr fontId="1" type="noConversion"/>
  </si>
  <si>
    <t>More than 8</t>
    <phoneticPr fontId="1" type="noConversion"/>
  </si>
  <si>
    <t>1 plus 1 for every 12 persons, or part of those persons, over 8</t>
    <phoneticPr fontId="1" type="noConversion"/>
  </si>
  <si>
    <t>1A</t>
    <phoneticPr fontId="1" type="noConversion"/>
  </si>
  <si>
    <t>Total Population</t>
    <phoneticPr fontId="1" type="noConversion"/>
  </si>
  <si>
    <t>No. of Male</t>
    <phoneticPr fontId="1" type="noConversion"/>
  </si>
  <si>
    <t>No. of Female</t>
    <phoneticPr fontId="1" type="noConversion"/>
  </si>
  <si>
    <t>1B</t>
    <phoneticPr fontId="1" type="noConversion"/>
  </si>
  <si>
    <t>Building Use</t>
    <phoneticPr fontId="1" type="noConversion"/>
  </si>
  <si>
    <t>C5 = No</t>
    <phoneticPr fontId="1" type="noConversion"/>
  </si>
  <si>
    <t>Table 2</t>
    <phoneticPr fontId="1" type="noConversion"/>
  </si>
  <si>
    <t>Number of Watercloset Fitments (where Separate Waterclosets are Provided for Male Persons and for Female Persons in Residential Building)</t>
    <phoneticPr fontId="1" type="noConversion"/>
  </si>
  <si>
    <t>Part 1</t>
    <phoneticPr fontId="1" type="noConversion"/>
  </si>
  <si>
    <t>Number of Watercloset Fitments Provided for Male Persons in Residential Building</t>
    <phoneticPr fontId="1" type="noConversion"/>
  </si>
  <si>
    <t>Not more than 8</t>
    <phoneticPr fontId="1" type="noConversion"/>
  </si>
  <si>
    <t>More than 8</t>
    <phoneticPr fontId="1" type="noConversion"/>
  </si>
  <si>
    <t>1 plus 1 for every 12 male persons, or part of those persons, over 8</t>
    <phoneticPr fontId="1" type="noConversion"/>
  </si>
  <si>
    <t>Part 2</t>
    <phoneticPr fontId="1" type="noConversion"/>
  </si>
  <si>
    <t>Number of Watercloset Fitments Provided for Female Persons in Residential Building</t>
    <phoneticPr fontId="1" type="noConversion"/>
  </si>
  <si>
    <t>1 plus 1 for every 12 female persons, or part of those persons, over 8</t>
    <phoneticPr fontId="1" type="noConversion"/>
  </si>
  <si>
    <t>Use = 1A</t>
    <phoneticPr fontId="1" type="noConversion"/>
  </si>
  <si>
    <t>Scenario:</t>
    <phoneticPr fontId="1" type="noConversion"/>
  </si>
  <si>
    <t>C5 = Yes</t>
    <phoneticPr fontId="1" type="noConversion"/>
  </si>
  <si>
    <t>WC (M)</t>
    <phoneticPr fontId="1" type="noConversion"/>
  </si>
  <si>
    <t>WC (F)</t>
    <phoneticPr fontId="1" type="noConversion"/>
  </si>
  <si>
    <t>WC (M)
(round up)</t>
    <phoneticPr fontId="1" type="noConversion"/>
  </si>
  <si>
    <t>WC (F)
(round up)</t>
    <phoneticPr fontId="1" type="noConversion"/>
  </si>
  <si>
    <t>C6 = No</t>
    <phoneticPr fontId="1" type="noConversion"/>
  </si>
  <si>
    <t>Table 3</t>
    <phoneticPr fontId="1" type="noConversion"/>
  </si>
  <si>
    <t>Number of Watercloset Fitments and Urinals Provided for Male Persons in Residential Building</t>
    <phoneticPr fontId="1" type="noConversion"/>
  </si>
  <si>
    <t>Not more than 12</t>
    <phoneticPr fontId="1" type="noConversion"/>
  </si>
  <si>
    <t>More than 12</t>
    <phoneticPr fontId="1" type="noConversion"/>
  </si>
  <si>
    <t>1 plus 1 for every 12 male persons, or part of those persons, over 12</t>
    <phoneticPr fontId="1" type="noConversion"/>
  </si>
  <si>
    <t>C6 = Yes</t>
    <phoneticPr fontId="1" type="noConversion"/>
  </si>
  <si>
    <t>Population (M)</t>
    <phoneticPr fontId="1" type="noConversion"/>
  </si>
  <si>
    <t>Population (M/F)</t>
    <phoneticPr fontId="1" type="noConversion"/>
  </si>
  <si>
    <t>Urinal (M)</t>
    <phoneticPr fontId="1" type="noConversion"/>
  </si>
  <si>
    <t>Urinal (M)
(round up)</t>
    <phoneticPr fontId="1" type="noConversion"/>
  </si>
  <si>
    <t>Population (F)</t>
    <phoneticPr fontId="1" type="noConversion"/>
  </si>
  <si>
    <t>Table 4</t>
    <phoneticPr fontId="1" type="noConversion"/>
  </si>
  <si>
    <t>Number of Lavatory Basins and Baths or Showers Provided in Residential Building</t>
    <phoneticPr fontId="1" type="noConversion"/>
  </si>
  <si>
    <t>1 plus 1 for every 12 persons, or part of those persons, over 8</t>
    <phoneticPr fontId="1" type="noConversion"/>
  </si>
  <si>
    <t>No. of Bath/Shower</t>
    <phoneticPr fontId="1" type="noConversion"/>
  </si>
  <si>
    <t>Male to Female Ratio</t>
    <phoneticPr fontId="1" type="noConversion"/>
  </si>
  <si>
    <t>N/A</t>
    <phoneticPr fontId="1" type="noConversion"/>
  </si>
  <si>
    <t>Population 
Factor</t>
    <phoneticPr fontId="1" type="noConversion"/>
  </si>
  <si>
    <t>UFA 
(sq.m)</t>
    <phoneticPr fontId="1" type="noConversion"/>
  </si>
  <si>
    <t>Minimum WC (M) =</t>
    <phoneticPr fontId="1" type="noConversion"/>
  </si>
  <si>
    <t>1 : 1</t>
    <phoneticPr fontId="1" type="noConversion"/>
  </si>
  <si>
    <t>Whether separate waterclosets are provided for Male Persons and for Female Persons in Residential Building? (Yes / No)</t>
    <phoneticPr fontId="1" type="noConversion"/>
  </si>
  <si>
    <t>Share Use</t>
    <phoneticPr fontId="1" type="noConversion"/>
  </si>
  <si>
    <t>Required Provision</t>
    <phoneticPr fontId="1" type="noConversion"/>
  </si>
  <si>
    <t>(same as C6 = No)</t>
    <phoneticPr fontId="1" type="noConversion"/>
  </si>
  <si>
    <t>Yes</t>
  </si>
  <si>
    <t>Use = 1B</t>
    <phoneticPr fontId="1" type="noConversion"/>
  </si>
  <si>
    <t>Required Provision</t>
    <phoneticPr fontId="1" type="noConversion"/>
  </si>
  <si>
    <t>Share Use</t>
    <phoneticPr fontId="1" type="noConversion"/>
  </si>
  <si>
    <t>Population (F)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</si>
  <si>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</si>
  <si>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</si>
  <si>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</si>
  <si>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</si>
  <si>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</si>
  <si>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2A</t>
    <phoneticPr fontId="1" type="noConversion"/>
  </si>
  <si>
    <t>2B</t>
    <phoneticPr fontId="1" type="noConversion"/>
  </si>
  <si>
    <t>2C</t>
    <phoneticPr fontId="1" type="noConversion"/>
  </si>
  <si>
    <t>2D</t>
    <phoneticPr fontId="1" type="noConversion"/>
  </si>
  <si>
    <t>2E</t>
    <phoneticPr fontId="1" type="noConversion"/>
  </si>
  <si>
    <t>Table 5</t>
    <phoneticPr fontId="1" type="noConversion"/>
  </si>
  <si>
    <t>Number of Watercloset Fitments and Urinals Provided for Male Persons in Workplace</t>
    <phoneticPr fontId="1" type="noConversion"/>
  </si>
  <si>
    <t>Column 1</t>
    <phoneticPr fontId="1" type="noConversion"/>
  </si>
  <si>
    <t>Column 2</t>
    <phoneticPr fontId="1" type="noConversion"/>
  </si>
  <si>
    <t>Column 3</t>
    <phoneticPr fontId="1" type="noConversion"/>
  </si>
  <si>
    <t>Number of male persons in workplace</t>
    <phoneticPr fontId="1" type="noConversion"/>
  </si>
  <si>
    <t>Number of watercloset fitments</t>
    <phoneticPr fontId="1" type="noConversion"/>
  </si>
  <si>
    <t>Number of urinals</t>
    <phoneticPr fontId="1" type="noConversion"/>
  </si>
  <si>
    <t>11–100</t>
    <phoneticPr fontId="1" type="noConversion"/>
  </si>
  <si>
    <t>More than 100</t>
    <phoneticPr fontId="1" type="noConversion"/>
  </si>
  <si>
    <t>1 for every 25 male persons or part of those persons</t>
    <phoneticPr fontId="1" type="noConversion"/>
  </si>
  <si>
    <t>1 for every 50 male persons or part of those persons</t>
    <phoneticPr fontId="1" type="noConversion"/>
  </si>
  <si>
    <t>4 plus 1 for every 50 male persons, or part of those persons, over 100</t>
    <phoneticPr fontId="1" type="noConversion"/>
  </si>
  <si>
    <t>2 plus 1 for every 50 male persons, or part of those persons, over 100</t>
    <phoneticPr fontId="1" type="noConversion"/>
  </si>
  <si>
    <t>Table 6</t>
    <phoneticPr fontId="1" type="noConversion"/>
  </si>
  <si>
    <t>Number of Watercloset Fitments Provided for Female Persons in Workplace</t>
    <phoneticPr fontId="1" type="noConversion"/>
  </si>
  <si>
    <t>Number of female persons in workplace</t>
    <phoneticPr fontId="1" type="noConversion"/>
  </si>
  <si>
    <t>Number of female persons in workplace</t>
    <phoneticPr fontId="1" type="noConversion"/>
  </si>
  <si>
    <t>Number of watercloset fitments</t>
    <phoneticPr fontId="1" type="noConversion"/>
  </si>
  <si>
    <t>Not more than 10</t>
    <phoneticPr fontId="1" type="noConversion"/>
  </si>
  <si>
    <t>11–25</t>
    <phoneticPr fontId="1" type="noConversion"/>
  </si>
  <si>
    <t>More than 25</t>
    <phoneticPr fontId="1" type="noConversion"/>
  </si>
  <si>
    <t>Not more than 10</t>
    <phoneticPr fontId="1" type="noConversion"/>
  </si>
  <si>
    <t>2 plus 1 for every 25 female persons, or part of those persons, over 25</t>
    <phoneticPr fontId="1" type="noConversion"/>
  </si>
  <si>
    <t>Table 7</t>
    <phoneticPr fontId="1" type="noConversion"/>
  </si>
  <si>
    <t>Number of Lavatory Basins Provided in Workplace</t>
    <phoneticPr fontId="1" type="noConversion"/>
  </si>
  <si>
    <t>Part 1</t>
    <phoneticPr fontId="1" type="noConversion"/>
  </si>
  <si>
    <t>Number of Lavatory Basins Provided for Male Persons in Workplace</t>
    <phoneticPr fontId="1" type="noConversion"/>
  </si>
  <si>
    <t>Column 1</t>
    <phoneticPr fontId="1" type="noConversion"/>
  </si>
  <si>
    <t>Number of lavatory basins</t>
    <phoneticPr fontId="1" type="noConversion"/>
  </si>
  <si>
    <t>Not more than 100</t>
    <phoneticPr fontId="1" type="noConversion"/>
  </si>
  <si>
    <t>Column 1</t>
    <phoneticPr fontId="1" type="noConversion"/>
  </si>
  <si>
    <t>Column 2</t>
    <phoneticPr fontId="1" type="noConversion"/>
  </si>
  <si>
    <t>Number of male persons in workplace</t>
    <phoneticPr fontId="1" type="noConversion"/>
  </si>
  <si>
    <t>Number of lavatory basins</t>
    <phoneticPr fontId="1" type="noConversion"/>
  </si>
  <si>
    <t>1 for every 25 male persons or part of those persons</t>
    <phoneticPr fontId="1" type="noConversion"/>
  </si>
  <si>
    <t>More than 100</t>
    <phoneticPr fontId="1" type="noConversion"/>
  </si>
  <si>
    <t>4 plus 1 for every 50 male persons, or part of those persons, over 100</t>
    <phoneticPr fontId="1" type="noConversion"/>
  </si>
  <si>
    <t>Number of Lavatory Basins Provided for Female Persons in Workplace</t>
    <phoneticPr fontId="1" type="noConversion"/>
  </si>
  <si>
    <t>Not more than 100</t>
    <phoneticPr fontId="1" type="noConversion"/>
  </si>
  <si>
    <t>1 for every 25 female persons or part of those persons</t>
    <phoneticPr fontId="1" type="noConversion"/>
  </si>
  <si>
    <t>4 plus 1 for every 50 female persons, or part of those persons, over 100</t>
    <phoneticPr fontId="1" type="noConversion"/>
  </si>
  <si>
    <t>Not more than 10</t>
    <phoneticPr fontId="1" type="noConversion"/>
  </si>
  <si>
    <t xml:space="preserve">Any workplaces </t>
    <phoneticPr fontId="1" type="noConversion"/>
  </si>
  <si>
    <t>Use = 2A</t>
    <phoneticPr fontId="1" type="noConversion"/>
  </si>
  <si>
    <t>11–100</t>
    <phoneticPr fontId="1" type="noConversion"/>
  </si>
  <si>
    <t>More than 100</t>
    <phoneticPr fontId="1" type="noConversion"/>
  </si>
  <si>
    <t>11–25</t>
    <phoneticPr fontId="1" type="noConversion"/>
  </si>
  <si>
    <t>More than 25</t>
    <phoneticPr fontId="1" type="noConversion"/>
  </si>
  <si>
    <t>WC</t>
    <phoneticPr fontId="1" type="noConversion"/>
  </si>
  <si>
    <t>Basin</t>
    <phoneticPr fontId="1" type="noConversion"/>
  </si>
  <si>
    <t>Basin (M)</t>
    <phoneticPr fontId="1" type="noConversion"/>
  </si>
  <si>
    <t>Basin (M)
(round up)</t>
    <phoneticPr fontId="1" type="noConversion"/>
  </si>
  <si>
    <t>Basin (F)</t>
    <phoneticPr fontId="1" type="noConversion"/>
  </si>
  <si>
    <t>Basin (F)
(round up)</t>
    <phoneticPr fontId="1" type="noConversion"/>
  </si>
  <si>
    <t>WC
(round up)</t>
    <phoneticPr fontId="1" type="noConversion"/>
  </si>
  <si>
    <t>Basin
(round up)</t>
    <phoneticPr fontId="1" type="noConversion"/>
  </si>
  <si>
    <t>Baths/Showers</t>
    <phoneticPr fontId="1" type="noConversion"/>
  </si>
  <si>
    <t>Baths/Showers
(round up)</t>
    <phoneticPr fontId="1" type="noConversion"/>
  </si>
  <si>
    <t>Tenement house, dormitory, barrack or boarding house</t>
    <phoneticPr fontId="1" type="noConversion"/>
  </si>
  <si>
    <t>Other residential building</t>
    <phoneticPr fontId="1" type="noConversion"/>
  </si>
  <si>
    <t>Office</t>
    <phoneticPr fontId="1" type="noConversion"/>
  </si>
  <si>
    <t>Flatted factory</t>
    <phoneticPr fontId="1" type="noConversion"/>
  </si>
  <si>
    <t>Warehouse, godown or storage area</t>
    <phoneticPr fontId="1" type="noConversion"/>
  </si>
  <si>
    <t>Shop that is neither within a shopping arcade nor within a department store</t>
    <phoneticPr fontId="1" type="noConversion"/>
  </si>
  <si>
    <t>Use = 2B</t>
    <phoneticPr fontId="1" type="noConversion"/>
  </si>
  <si>
    <t>Use = 2C</t>
    <phoneticPr fontId="1" type="noConversion"/>
  </si>
  <si>
    <t>Use = 2D</t>
    <phoneticPr fontId="1" type="noConversion"/>
  </si>
  <si>
    <t>Use = 2E</t>
    <phoneticPr fontId="1" type="noConversion"/>
  </si>
  <si>
    <t>Workplaces (Reg. 5 of Cap. 123I)</t>
    <phoneticPr fontId="1" type="noConversion"/>
  </si>
  <si>
    <t>PPE (Reg. 6 of Cap. 123I)</t>
    <phoneticPr fontId="1" type="noConversion"/>
  </si>
  <si>
    <t>Cinemas (Reg. 7 of Cap. 123I)</t>
    <phoneticPr fontId="1" type="noConversion"/>
  </si>
  <si>
    <t>Shopping arcades &amp; department stores (Reg. 7A of Cap. 123I)</t>
    <phoneticPr fontId="1" type="noConversion"/>
  </si>
  <si>
    <t>Sports stadia (Reg. 6A of Cap. 123I)</t>
    <phoneticPr fontId="1" type="noConversion"/>
  </si>
  <si>
    <t>Museum or exhibition hall</t>
    <phoneticPr fontId="1" type="noConversion"/>
  </si>
  <si>
    <t>Venue for a dance party</t>
    <phoneticPr fontId="1" type="noConversion"/>
  </si>
  <si>
    <t>1 : 1.5</t>
    <phoneticPr fontId="1" type="noConversion"/>
  </si>
  <si>
    <t>Assembly area or auditorium (without seating or with movable seating)</t>
    <phoneticPr fontId="1" type="noConversion"/>
  </si>
  <si>
    <t>Assembly area or auditorium (with non-movable seating)</t>
    <phoneticPr fontId="1" type="noConversion"/>
  </si>
  <si>
    <t>1 seat/person</t>
    <phoneticPr fontId="1" type="noConversion"/>
  </si>
  <si>
    <t>3 sq.m/person</t>
    <phoneticPr fontId="1" type="noConversion"/>
  </si>
  <si>
    <t>9 sq.m/person</t>
    <phoneticPr fontId="1" type="noConversion"/>
  </si>
  <si>
    <t>4.5 sq.m/person</t>
    <phoneticPr fontId="1" type="noConversion"/>
  </si>
  <si>
    <t>30 sq.m/person</t>
    <phoneticPr fontId="1" type="noConversion"/>
  </si>
  <si>
    <t>15 sq.m/person</t>
    <phoneticPr fontId="1" type="noConversion"/>
  </si>
  <si>
    <t>No. of Seats</t>
    <phoneticPr fontId="1" type="noConversion"/>
  </si>
  <si>
    <t>2 sq.m/person</t>
    <phoneticPr fontId="1" type="noConversion"/>
  </si>
  <si>
    <t>0.75 sq.m/person</t>
    <phoneticPr fontId="1" type="noConversion"/>
  </si>
  <si>
    <t>0.5 sq.m/person</t>
    <phoneticPr fontId="1" type="noConversion"/>
  </si>
  <si>
    <t>N/A</t>
    <phoneticPr fontId="1" type="noConversion"/>
  </si>
  <si>
    <t>N/A</t>
    <phoneticPr fontId="1" type="noConversion"/>
  </si>
  <si>
    <t>when Urinal =</t>
    <phoneticPr fontId="1" type="noConversion"/>
  </si>
  <si>
    <t>when Urinal (C6) =</t>
    <phoneticPr fontId="1" type="noConversion"/>
  </si>
  <si>
    <t>3A</t>
    <phoneticPr fontId="1" type="noConversion"/>
  </si>
  <si>
    <t>3B</t>
    <phoneticPr fontId="1" type="noConversion"/>
  </si>
  <si>
    <t>3C</t>
    <phoneticPr fontId="1" type="noConversion"/>
  </si>
  <si>
    <t>3D</t>
    <phoneticPr fontId="1" type="noConversion"/>
  </si>
  <si>
    <t>Number of Watercloset Fitments and Urinals Provided for Male Persons in Place of Public Entertainment</t>
    <phoneticPr fontId="1" type="noConversion"/>
  </si>
  <si>
    <t>Column 1</t>
    <phoneticPr fontId="1" type="noConversion"/>
  </si>
  <si>
    <t>Table 8</t>
    <phoneticPr fontId="1" type="noConversion"/>
  </si>
  <si>
    <t>Column 2</t>
    <phoneticPr fontId="1" type="noConversion"/>
  </si>
  <si>
    <t>Column 3</t>
    <phoneticPr fontId="1" type="noConversion"/>
  </si>
  <si>
    <t>Number of watercloset fitments</t>
    <phoneticPr fontId="1" type="noConversion"/>
  </si>
  <si>
    <t>Number of urinals</t>
    <phoneticPr fontId="1" type="noConversion"/>
  </si>
  <si>
    <t>Number of male persons in place of public entertainment</t>
    <phoneticPr fontId="1" type="noConversion"/>
  </si>
  <si>
    <t>1 for every 100 male persons or part of those persons</t>
    <phoneticPr fontId="1" type="noConversion"/>
  </si>
  <si>
    <t>4 plus 1 for every 250 male persons, or part of those persons, over 400</t>
    <phoneticPr fontId="1" type="noConversion"/>
  </si>
  <si>
    <t>1 for every 50 male persons or part of those persons</t>
    <phoneticPr fontId="1" type="noConversion"/>
  </si>
  <si>
    <t>Table 9</t>
    <phoneticPr fontId="1" type="noConversion"/>
  </si>
  <si>
    <t>Number of Watercloset Fitments Provided for Female Persons in Place of Public Entertainment</t>
    <phoneticPr fontId="1" type="noConversion"/>
  </si>
  <si>
    <t>More than 250</t>
    <phoneticPr fontId="1" type="noConversion"/>
  </si>
  <si>
    <t>Column 1</t>
    <phoneticPr fontId="1" type="noConversion"/>
  </si>
  <si>
    <t>Column 2</t>
    <phoneticPr fontId="1" type="noConversion"/>
  </si>
  <si>
    <t>Number of female persons in place of public entertainment</t>
    <phoneticPr fontId="1" type="noConversion"/>
  </si>
  <si>
    <t>Number of watercloset fitments</t>
    <phoneticPr fontId="1" type="noConversion"/>
  </si>
  <si>
    <t>2 for every 50 female persons or part of those persons</t>
    <phoneticPr fontId="1" type="noConversion"/>
  </si>
  <si>
    <t>10 plus 1 for every 40 female persons, or part of those persons, over 250</t>
    <phoneticPr fontId="1" type="noConversion"/>
  </si>
  <si>
    <t>Table 10</t>
    <phoneticPr fontId="1" type="noConversion"/>
  </si>
  <si>
    <t>Number of Lavatory Basins Provided in Place of Public Entertainment</t>
    <phoneticPr fontId="1" type="noConversion"/>
  </si>
  <si>
    <t>Persons in place of public entertainment</t>
    <phoneticPr fontId="1" type="noConversion"/>
  </si>
  <si>
    <t>Number of lavatory basins</t>
    <phoneticPr fontId="1" type="noConversion"/>
  </si>
  <si>
    <t>Male persons</t>
    <phoneticPr fontId="1" type="noConversion"/>
  </si>
  <si>
    <t>Female persons</t>
    <phoneticPr fontId="1" type="noConversion"/>
  </si>
  <si>
    <t>1 for every 100 female persons or part of those persons</t>
    <phoneticPr fontId="1" type="noConversion"/>
  </si>
  <si>
    <t>Not more than 400</t>
    <phoneticPr fontId="1" type="noConversion"/>
  </si>
  <si>
    <t>Not more than 400</t>
    <phoneticPr fontId="1" type="noConversion"/>
  </si>
  <si>
    <t>More than 400</t>
    <phoneticPr fontId="1" type="noConversion"/>
  </si>
  <si>
    <t>More than 400</t>
    <phoneticPr fontId="1" type="noConversion"/>
  </si>
  <si>
    <t>Use = 3A</t>
    <phoneticPr fontId="1" type="noConversion"/>
  </si>
  <si>
    <t>Use = 3B</t>
    <phoneticPr fontId="1" type="noConversion"/>
  </si>
  <si>
    <t>Use = 3C</t>
    <phoneticPr fontId="1" type="noConversion"/>
  </si>
  <si>
    <t>Use = 3D</t>
    <phoneticPr fontId="1" type="noConversion"/>
  </si>
  <si>
    <t>Not more than 250</t>
    <phoneticPr fontId="1" type="noConversion"/>
  </si>
  <si>
    <t>More than 250</t>
    <phoneticPr fontId="1" type="noConversion"/>
  </si>
  <si>
    <t>More than 250</t>
    <phoneticPr fontId="1" type="noConversion"/>
  </si>
  <si>
    <t>A</t>
    <phoneticPr fontId="1" type="noConversion"/>
  </si>
  <si>
    <t>B</t>
    <phoneticPr fontId="1" type="noConversion"/>
  </si>
  <si>
    <t>4A</t>
    <phoneticPr fontId="1" type="noConversion"/>
  </si>
  <si>
    <t>4B</t>
    <phoneticPr fontId="1" type="noConversion"/>
  </si>
  <si>
    <t>Table 11</t>
    <phoneticPr fontId="1" type="noConversion"/>
  </si>
  <si>
    <t>Number of Watercloset Fitments and Urinals Provided for Male Persons in Sports Stadium</t>
    <phoneticPr fontId="1" type="noConversion"/>
  </si>
  <si>
    <t>Number of watercloset fitments</t>
    <phoneticPr fontId="1" type="noConversion"/>
  </si>
  <si>
    <t>Number of urinals</t>
    <phoneticPr fontId="1" type="noConversion"/>
  </si>
  <si>
    <t>1 for every 100 male persons or part of those persons</t>
    <phoneticPr fontId="1" type="noConversion"/>
  </si>
  <si>
    <t>Table 12</t>
    <phoneticPr fontId="1" type="noConversion"/>
  </si>
  <si>
    <t>Number of Watercloset Fitments Provided for Female Persons in Sports Stadium</t>
    <phoneticPr fontId="1" type="noConversion"/>
  </si>
  <si>
    <t>1 for every 50 female persons or part of those persons</t>
    <phoneticPr fontId="1" type="noConversion"/>
  </si>
  <si>
    <t>Table 13</t>
    <phoneticPr fontId="1" type="noConversion"/>
  </si>
  <si>
    <t>Persons in sports stadium</t>
    <phoneticPr fontId="1" type="noConversion"/>
  </si>
  <si>
    <t>1 for every 100 male persons or part of those persons</t>
    <phoneticPr fontId="1" type="noConversion"/>
  </si>
  <si>
    <t>1 for every 100 female persons or part of those persons</t>
    <phoneticPr fontId="1" type="noConversion"/>
  </si>
  <si>
    <t>Use = 4A</t>
    <phoneticPr fontId="1" type="noConversion"/>
  </si>
  <si>
    <t>Use = 4B</t>
    <phoneticPr fontId="1" type="noConversion"/>
  </si>
  <si>
    <t>Table 14</t>
    <phoneticPr fontId="1" type="noConversion"/>
  </si>
  <si>
    <t>Number of Watercloset Fitments and Urinals Provided for Male Persons in Cinema</t>
    <phoneticPr fontId="1" type="noConversion"/>
  </si>
  <si>
    <t>Column 1</t>
    <phoneticPr fontId="1" type="noConversion"/>
  </si>
  <si>
    <t>Column 2</t>
    <phoneticPr fontId="1" type="noConversion"/>
  </si>
  <si>
    <t>Column 3</t>
    <phoneticPr fontId="1" type="noConversion"/>
  </si>
  <si>
    <t>Number of male persons in cinema</t>
    <phoneticPr fontId="1" type="noConversion"/>
  </si>
  <si>
    <t>Number of watercloset fitments</t>
    <phoneticPr fontId="1" type="noConversion"/>
  </si>
  <si>
    <t>1 for every 100 male persons or part of those persons</t>
    <phoneticPr fontId="1" type="noConversion"/>
  </si>
  <si>
    <t>3 plus 1 for every 500 male persons, or part of those persons, over 1 000</t>
    <phoneticPr fontId="1" type="noConversion"/>
  </si>
  <si>
    <t>Number of urinals</t>
    <phoneticPr fontId="1" type="noConversion"/>
  </si>
  <si>
    <t>Table 15</t>
    <phoneticPr fontId="1" type="noConversion"/>
  </si>
  <si>
    <t>Number of Watercloset Fitments Provided for Female Persons in Cinema</t>
    <phoneticPr fontId="1" type="noConversion"/>
  </si>
  <si>
    <t>251–420</t>
    <phoneticPr fontId="1" type="noConversion"/>
  </si>
  <si>
    <t>More than 420</t>
    <phoneticPr fontId="1" type="noConversion"/>
  </si>
  <si>
    <t>Number of female persons in cinema</t>
    <phoneticPr fontId="1" type="noConversion"/>
  </si>
  <si>
    <t>Number of watercloset fitments</t>
    <phoneticPr fontId="1" type="noConversion"/>
  </si>
  <si>
    <t>121–250</t>
    <phoneticPr fontId="1" type="noConversion"/>
  </si>
  <si>
    <t>1 for every 40 female persons or part of those persons</t>
    <phoneticPr fontId="1" type="noConversion"/>
  </si>
  <si>
    <t>3 plus 1 for every 65 female persons, or part of those persons, over 120</t>
    <phoneticPr fontId="1" type="noConversion"/>
  </si>
  <si>
    <t>5 plus 1 for every 85 female persons, or part of those persons, over 250</t>
    <phoneticPr fontId="1" type="noConversion"/>
  </si>
  <si>
    <t>7 plus 1 for every 100 female persons, or part of those persons, over 420</t>
    <phoneticPr fontId="1" type="noConversion"/>
  </si>
  <si>
    <t>Table 16</t>
    <phoneticPr fontId="1" type="noConversion"/>
  </si>
  <si>
    <t>Number of Lavatory Basins Provided in Cinema</t>
    <phoneticPr fontId="1" type="noConversion"/>
  </si>
  <si>
    <t>Number of lavatory basins</t>
    <phoneticPr fontId="1" type="noConversion"/>
  </si>
  <si>
    <t>Persons in cinema</t>
    <phoneticPr fontId="1" type="noConversion"/>
  </si>
  <si>
    <t>Male persons</t>
    <phoneticPr fontId="1" type="noConversion"/>
  </si>
  <si>
    <t>Female persons</t>
    <phoneticPr fontId="1" type="noConversion"/>
  </si>
  <si>
    <t>1 for every 100 male persons or part of those persons</t>
    <phoneticPr fontId="1" type="noConversion"/>
  </si>
  <si>
    <t>1 for every 100 female persons or part of those persons</t>
    <phoneticPr fontId="1" type="noConversion"/>
  </si>
  <si>
    <t>Cinema</t>
    <phoneticPr fontId="1" type="noConversion"/>
  </si>
  <si>
    <t>Use = Cinema</t>
    <phoneticPr fontId="1" type="noConversion"/>
  </si>
  <si>
    <t>Not more than 200</t>
    <phoneticPr fontId="1" type="noConversion"/>
  </si>
  <si>
    <t>201–500</t>
    <phoneticPr fontId="1" type="noConversion"/>
  </si>
  <si>
    <t>201–500</t>
    <phoneticPr fontId="1" type="noConversion"/>
  </si>
  <si>
    <t>501–1 000</t>
    <phoneticPr fontId="1" type="noConversion"/>
  </si>
  <si>
    <t>501–1 000</t>
    <phoneticPr fontId="1" type="noConversion"/>
  </si>
  <si>
    <t>More than 1 000</t>
    <phoneticPr fontId="1" type="noConversion"/>
  </si>
  <si>
    <t>More than 1 000</t>
    <phoneticPr fontId="1" type="noConversion"/>
  </si>
  <si>
    <t>Not more than 120</t>
    <phoneticPr fontId="1" type="noConversion"/>
  </si>
  <si>
    <t>121–250</t>
    <phoneticPr fontId="1" type="noConversion"/>
  </si>
  <si>
    <t>251–420</t>
    <phoneticPr fontId="1" type="noConversion"/>
  </si>
  <si>
    <t>More than 420</t>
    <phoneticPr fontId="1" type="noConversion"/>
  </si>
  <si>
    <t>Without seating or with movable seating</t>
    <phoneticPr fontId="1" type="noConversion"/>
  </si>
  <si>
    <t>With non-movable seating</t>
    <phoneticPr fontId="1" type="noConversion"/>
  </si>
  <si>
    <t>Basement, ground, first or second floor</t>
    <phoneticPr fontId="1" type="noConversion"/>
  </si>
  <si>
    <t>Third floor (or above)</t>
    <phoneticPr fontId="1" type="noConversion"/>
  </si>
  <si>
    <t>6A</t>
    <phoneticPr fontId="1" type="noConversion"/>
  </si>
  <si>
    <t>6B</t>
    <phoneticPr fontId="1" type="noConversion"/>
  </si>
  <si>
    <t>Table 17</t>
    <phoneticPr fontId="1" type="noConversion"/>
  </si>
  <si>
    <t>Number of Watercloset Fitments and Urinals Provided for Male Persons in Shopping Arcade or Department Store</t>
    <phoneticPr fontId="1" type="noConversion"/>
  </si>
  <si>
    <t>1 for every 125 male persons or part of those persons</t>
    <phoneticPr fontId="1" type="noConversion"/>
  </si>
  <si>
    <t>1 for every 250 male persons or part of those persons</t>
    <phoneticPr fontId="1" type="noConversion"/>
  </si>
  <si>
    <t>4 plus 1 for every 250 male persons, or part of those persons, over 500</t>
    <phoneticPr fontId="1" type="noConversion"/>
  </si>
  <si>
    <t>1 for every 250 male persons or part of those persons</t>
    <phoneticPr fontId="1" type="noConversion"/>
  </si>
  <si>
    <t>Column 1</t>
    <phoneticPr fontId="1" type="noConversion"/>
  </si>
  <si>
    <t>Column 2</t>
    <phoneticPr fontId="1" type="noConversion"/>
  </si>
  <si>
    <t>Column 3</t>
    <phoneticPr fontId="1" type="noConversion"/>
  </si>
  <si>
    <t>Number of male persons in shopping arcade or department store</t>
    <phoneticPr fontId="1" type="noConversion"/>
  </si>
  <si>
    <t>Number of watercloset fitments</t>
    <phoneticPr fontId="1" type="noConversion"/>
  </si>
  <si>
    <t>Number of urinals</t>
    <phoneticPr fontId="1" type="noConversion"/>
  </si>
  <si>
    <t>Table 18</t>
    <phoneticPr fontId="1" type="noConversion"/>
  </si>
  <si>
    <t>Number of Watercloset Fitments Provided for Female Persons in Shopping Arcade or Department Store</t>
    <phoneticPr fontId="1" type="noConversion"/>
  </si>
  <si>
    <t>Not more than 50</t>
    <phoneticPr fontId="1" type="noConversion"/>
  </si>
  <si>
    <t>3 plus 1 for every 80 female persons, or part of those persons, over 125</t>
    <phoneticPr fontId="1" type="noConversion"/>
  </si>
  <si>
    <t>More than 1 800</t>
    <phoneticPr fontId="1" type="noConversion"/>
  </si>
  <si>
    <t>24 plus 1 for every 90 female persons, or part of those persons, over 1 800</t>
    <phoneticPr fontId="1" type="noConversion"/>
  </si>
  <si>
    <t>Column 1</t>
    <phoneticPr fontId="1" type="noConversion"/>
  </si>
  <si>
    <t>Column 2</t>
    <phoneticPr fontId="1" type="noConversion"/>
  </si>
  <si>
    <t>Number of female persons in shopping arcade or department store</t>
    <phoneticPr fontId="1" type="noConversion"/>
  </si>
  <si>
    <t>51–125</t>
    <phoneticPr fontId="1" type="noConversion"/>
  </si>
  <si>
    <t>1 for every 25 female persons or part of those persons</t>
    <phoneticPr fontId="1" type="noConversion"/>
  </si>
  <si>
    <t>Table 19</t>
    <phoneticPr fontId="1" type="noConversion"/>
  </si>
  <si>
    <t>Number of Lavatory Basins Provided in Shopping Arcade or Department Store</t>
    <phoneticPr fontId="1" type="noConversion"/>
  </si>
  <si>
    <t>Number of Lavatory Basins Provided for Male Persons in Shopping Arcade or Department Store</t>
    <phoneticPr fontId="1" type="noConversion"/>
  </si>
  <si>
    <t>Number of Lavatory Basins Provided for Female Persons in Shopping Arcade or Department Store</t>
    <phoneticPr fontId="1" type="noConversion"/>
  </si>
  <si>
    <t>Part 2</t>
    <phoneticPr fontId="1" type="noConversion"/>
  </si>
  <si>
    <t>Part 1</t>
    <phoneticPr fontId="1" type="noConversion"/>
  </si>
  <si>
    <t>Part 2</t>
    <phoneticPr fontId="1" type="noConversion"/>
  </si>
  <si>
    <t>Number of male persons in shopping arcade or department store</t>
    <phoneticPr fontId="1" type="noConversion"/>
  </si>
  <si>
    <t>Number of female persons in shopping arcade or department store</t>
    <phoneticPr fontId="1" type="noConversion"/>
  </si>
  <si>
    <t>Number of lavatory basins</t>
    <phoneticPr fontId="1" type="noConversion"/>
  </si>
  <si>
    <t>Not more than 500</t>
    <phoneticPr fontId="1" type="noConversion"/>
  </si>
  <si>
    <t>More than 500</t>
    <phoneticPr fontId="1" type="noConversion"/>
  </si>
  <si>
    <t>1 for every 125 male persons or part of those persons</t>
    <phoneticPr fontId="1" type="noConversion"/>
  </si>
  <si>
    <t>4 plus 1 for every 250 male persons, or part of those persons, over 500</t>
    <phoneticPr fontId="1" type="noConversion"/>
  </si>
  <si>
    <t>1 for every 125 female persons or part of those persons</t>
    <phoneticPr fontId="1" type="noConversion"/>
  </si>
  <si>
    <t>4 plus 1 for every 250 female persons, or part of those persons, over 500</t>
    <phoneticPr fontId="1" type="noConversion"/>
  </si>
  <si>
    <t>Use = 6A</t>
    <phoneticPr fontId="1" type="noConversion"/>
  </si>
  <si>
    <t>Not more than 500</t>
    <phoneticPr fontId="1" type="noConversion"/>
  </si>
  <si>
    <t>Not more than 500</t>
    <phoneticPr fontId="1" type="noConversion"/>
  </si>
  <si>
    <t>More than 500</t>
    <phoneticPr fontId="1" type="noConversion"/>
  </si>
  <si>
    <t>More than 500</t>
    <phoneticPr fontId="1" type="noConversion"/>
  </si>
  <si>
    <t>Use = 6B</t>
    <phoneticPr fontId="1" type="noConversion"/>
  </si>
  <si>
    <t>Not more than 50</t>
    <phoneticPr fontId="1" type="noConversion"/>
  </si>
  <si>
    <t>51–125</t>
    <phoneticPr fontId="1" type="noConversion"/>
  </si>
  <si>
    <t>126–1 800</t>
    <phoneticPr fontId="1" type="noConversion"/>
  </si>
  <si>
    <t>126–1 800</t>
    <phoneticPr fontId="1" type="noConversion"/>
  </si>
  <si>
    <t>More than 1 800</t>
    <phoneticPr fontId="1" type="noConversion"/>
  </si>
  <si>
    <t>Religious institutions (Reg. 7B of Cap. 123I)</t>
    <phoneticPr fontId="1" type="noConversion"/>
  </si>
  <si>
    <t>Religious institution</t>
    <phoneticPr fontId="1" type="noConversion"/>
  </si>
  <si>
    <t>Table 20</t>
    <phoneticPr fontId="1" type="noConversion"/>
  </si>
  <si>
    <t>Number of Watercloset Fitments and Urinals Provided for Male Persons in Religious Institution</t>
    <phoneticPr fontId="1" type="noConversion"/>
  </si>
  <si>
    <t>1 for every 100 male persons or part of those persons</t>
    <phoneticPr fontId="1" type="noConversion"/>
  </si>
  <si>
    <t>Table 21</t>
    <phoneticPr fontId="1" type="noConversion"/>
  </si>
  <si>
    <t>Number of Watercloset Fitments Provided for Female Persons in Religious Institution</t>
    <phoneticPr fontId="1" type="noConversion"/>
  </si>
  <si>
    <t>Table 22</t>
    <phoneticPr fontId="1" type="noConversion"/>
  </si>
  <si>
    <t>Number of Lavatory Basins Provided in Religious Institution</t>
    <phoneticPr fontId="1" type="noConversion"/>
  </si>
  <si>
    <t>Column 2</t>
    <phoneticPr fontId="1" type="noConversion"/>
  </si>
  <si>
    <t>Persons in religious institution</t>
    <phoneticPr fontId="1" type="noConversion"/>
  </si>
  <si>
    <t>Number of lavatory basins</t>
    <phoneticPr fontId="1" type="noConversion"/>
  </si>
  <si>
    <t>1 for every 100 male persons or part of those persons</t>
    <phoneticPr fontId="1" type="noConversion"/>
  </si>
  <si>
    <t>1 for every 100 female persons or part of those persons</t>
    <phoneticPr fontId="1" type="noConversion"/>
  </si>
  <si>
    <t>Male persons</t>
    <phoneticPr fontId="1" type="noConversion"/>
  </si>
  <si>
    <t>Female persons</t>
    <phoneticPr fontId="1" type="noConversion"/>
  </si>
  <si>
    <t>Use = Religious institution</t>
    <phoneticPr fontId="1" type="noConversion"/>
  </si>
  <si>
    <t>Funeral parlours (Reg. 7C of Cap. 123I)</t>
    <phoneticPr fontId="1" type="noConversion"/>
  </si>
  <si>
    <t>Table 23</t>
    <phoneticPr fontId="1" type="noConversion"/>
  </si>
  <si>
    <t>1 for every 150 male persons or part of those persons</t>
    <phoneticPr fontId="1" type="noConversion"/>
  </si>
  <si>
    <t>1 for every 150 male persons or part of those persons</t>
    <phoneticPr fontId="1" type="noConversion"/>
  </si>
  <si>
    <t>Number of Watercloset Fitments and Urinals Provided for Male Persons in Funeral Parlour</t>
    <phoneticPr fontId="1" type="noConversion"/>
  </si>
  <si>
    <t>Table 24</t>
    <phoneticPr fontId="1" type="noConversion"/>
  </si>
  <si>
    <t>Number of Watercloset Fitments Provided for Female Persons in Funeral Parlour</t>
    <phoneticPr fontId="1" type="noConversion"/>
  </si>
  <si>
    <t>1 for every 75 female persons or part of those persons</t>
    <phoneticPr fontId="1" type="noConversion"/>
  </si>
  <si>
    <t>Table 25</t>
    <phoneticPr fontId="1" type="noConversion"/>
  </si>
  <si>
    <t>Number of Lavatory Basins Provided in Funeral Parlour</t>
    <phoneticPr fontId="1" type="noConversion"/>
  </si>
  <si>
    <t>Persons in funeral parlour</t>
    <phoneticPr fontId="1" type="noConversion"/>
  </si>
  <si>
    <t>1 for every 300 male persons or part of those persons</t>
    <phoneticPr fontId="1" type="noConversion"/>
  </si>
  <si>
    <t>1 for every 300 female persons or part of those persons</t>
    <phoneticPr fontId="1" type="noConversion"/>
  </si>
  <si>
    <t>Use = Funeral parlours</t>
    <phoneticPr fontId="1" type="noConversion"/>
  </si>
  <si>
    <t>1.5 sq.m/person</t>
    <phoneticPr fontId="1" type="noConversion"/>
  </si>
  <si>
    <t>Restaurants</t>
    <phoneticPr fontId="1" type="noConversion"/>
  </si>
  <si>
    <t>Any restaurants</t>
    <phoneticPr fontId="1" type="noConversion"/>
  </si>
  <si>
    <t>Less than 25</t>
    <phoneticPr fontId="1" type="noConversion"/>
  </si>
  <si>
    <t>Urinal (M)</t>
    <phoneticPr fontId="1" type="noConversion"/>
  </si>
  <si>
    <t>Urinal (M)</t>
    <phoneticPr fontId="1" type="noConversion"/>
  </si>
  <si>
    <t>Male</t>
    <phoneticPr fontId="1" type="noConversion"/>
  </si>
  <si>
    <t>Table 26</t>
    <phoneticPr fontId="1" type="noConversion"/>
  </si>
  <si>
    <t>Number of Watercloset Fitments and Urinals Provided for Male Persons in Restaurant</t>
    <phoneticPr fontId="1" type="noConversion"/>
  </si>
  <si>
    <t>4 plus 1 for every 50 male persons, or part of those persons, over 200</t>
    <phoneticPr fontId="1" type="noConversion"/>
  </si>
  <si>
    <t>301–400</t>
  </si>
  <si>
    <t>6 plus 1 for every 50 male persons, or part of those persons, over 300</t>
    <phoneticPr fontId="1" type="noConversion"/>
  </si>
  <si>
    <t>8 plus 1 for every 50 male persons, or part of those persons, over 400</t>
    <phoneticPr fontId="1" type="noConversion"/>
  </si>
  <si>
    <t>More than 650</t>
    <phoneticPr fontId="1" type="noConversion"/>
  </si>
  <si>
    <t>5 plus 1 for every 250 male persons, or part of those persons, over 650</t>
    <phoneticPr fontId="1" type="noConversion"/>
  </si>
  <si>
    <t>13 plus 1 for every 50 male persons, or part of those persons, over 650</t>
    <phoneticPr fontId="1" type="noConversion"/>
  </si>
  <si>
    <t>Number of male persons in restaurant</t>
    <phoneticPr fontId="1" type="noConversion"/>
  </si>
  <si>
    <t>Number of watercloset fitments</t>
    <phoneticPr fontId="1" type="noConversion"/>
  </si>
  <si>
    <t>Number of urinals</t>
    <phoneticPr fontId="1" type="noConversion"/>
  </si>
  <si>
    <t>401–650</t>
    <phoneticPr fontId="1" type="noConversion"/>
  </si>
  <si>
    <t>Table 27</t>
    <phoneticPr fontId="1" type="noConversion"/>
  </si>
  <si>
    <t>Number of Watercloset Fitments Provided for Female Persons in Restaurant</t>
    <phoneticPr fontId="1" type="noConversion"/>
  </si>
  <si>
    <t>Not more than 60</t>
    <phoneticPr fontId="1" type="noConversion"/>
  </si>
  <si>
    <t>181–200</t>
    <phoneticPr fontId="1" type="noConversion"/>
  </si>
  <si>
    <t>More than 200</t>
  </si>
  <si>
    <t>4 plus 1 for every 100 female persons, or part of those persons, over 200</t>
    <phoneticPr fontId="1" type="noConversion"/>
  </si>
  <si>
    <t>Number of female persons in restaurant</t>
    <phoneticPr fontId="1" type="noConversion"/>
  </si>
  <si>
    <t>Number of watercloset fitments</t>
    <phoneticPr fontId="1" type="noConversion"/>
  </si>
  <si>
    <t>Table 28</t>
    <phoneticPr fontId="1" type="noConversion"/>
  </si>
  <si>
    <t>Number of Lavatory Basins Provided in Restaurant</t>
    <phoneticPr fontId="1" type="noConversion"/>
  </si>
  <si>
    <t>Number of Lavatory Basins Provided for Male Persons in Restaurant</t>
    <phoneticPr fontId="1" type="noConversion"/>
  </si>
  <si>
    <t>3 plus 1 for every 100 male persons, or part of those persons, over 150</t>
    <phoneticPr fontId="1" type="noConversion"/>
  </si>
  <si>
    <t>Number of Lavatory Basins Provided for Female Persons in Restaurant</t>
    <phoneticPr fontId="1" type="noConversion"/>
  </si>
  <si>
    <t>Not more than 120</t>
    <phoneticPr fontId="1" type="noConversion"/>
  </si>
  <si>
    <t>181–250</t>
    <phoneticPr fontId="1" type="noConversion"/>
  </si>
  <si>
    <t>Part 1</t>
    <phoneticPr fontId="1" type="noConversion"/>
  </si>
  <si>
    <t>Column 1</t>
    <phoneticPr fontId="1" type="noConversion"/>
  </si>
  <si>
    <t>Column 2</t>
    <phoneticPr fontId="1" type="noConversion"/>
  </si>
  <si>
    <t>Number of male persons in restaurant</t>
    <phoneticPr fontId="1" type="noConversion"/>
  </si>
  <si>
    <t>Number of lavatory basins</t>
    <phoneticPr fontId="1" type="noConversion"/>
  </si>
  <si>
    <t>Number of female persons in restaurant</t>
    <phoneticPr fontId="1" type="noConversion"/>
  </si>
  <si>
    <t>Number of lavatory basins</t>
    <phoneticPr fontId="1" type="noConversion"/>
  </si>
  <si>
    <t>4 plus 1 for every 100 female persons, or part of those persons, over 250</t>
    <phoneticPr fontId="1" type="noConversion"/>
  </si>
  <si>
    <t>Not more than 40</t>
    <phoneticPr fontId="1" type="noConversion"/>
  </si>
  <si>
    <t>Not more than 40</t>
    <phoneticPr fontId="1" type="noConversion"/>
  </si>
  <si>
    <t>41–80</t>
    <phoneticPr fontId="1" type="noConversion"/>
  </si>
  <si>
    <t>41–80</t>
    <phoneticPr fontId="1" type="noConversion"/>
  </si>
  <si>
    <t>81–150</t>
    <phoneticPr fontId="1" type="noConversion"/>
  </si>
  <si>
    <t>81–150</t>
    <phoneticPr fontId="1" type="noConversion"/>
  </si>
  <si>
    <t>151–200</t>
    <phoneticPr fontId="1" type="noConversion"/>
  </si>
  <si>
    <t>151–200</t>
    <phoneticPr fontId="1" type="noConversion"/>
  </si>
  <si>
    <t>201–300</t>
    <phoneticPr fontId="1" type="noConversion"/>
  </si>
  <si>
    <t>201–300</t>
    <phoneticPr fontId="1" type="noConversion"/>
  </si>
  <si>
    <t>301–400</t>
    <phoneticPr fontId="1" type="noConversion"/>
  </si>
  <si>
    <t>401–650</t>
    <phoneticPr fontId="1" type="noConversion"/>
  </si>
  <si>
    <t>More than 650</t>
    <phoneticPr fontId="1" type="noConversion"/>
  </si>
  <si>
    <t>Use = Restaurant</t>
    <phoneticPr fontId="1" type="noConversion"/>
  </si>
  <si>
    <t>Not more than 60</t>
    <phoneticPr fontId="1" type="noConversion"/>
  </si>
  <si>
    <t>61–120</t>
    <phoneticPr fontId="1" type="noConversion"/>
  </si>
  <si>
    <t>61–120</t>
    <phoneticPr fontId="1" type="noConversion"/>
  </si>
  <si>
    <t>121–180</t>
    <phoneticPr fontId="1" type="noConversion"/>
  </si>
  <si>
    <t>121–180</t>
    <phoneticPr fontId="1" type="noConversion"/>
  </si>
  <si>
    <t>181–200</t>
    <phoneticPr fontId="1" type="noConversion"/>
  </si>
  <si>
    <t>More than 200</t>
    <phoneticPr fontId="1" type="noConversion"/>
  </si>
  <si>
    <t>Not more than 80</t>
    <phoneticPr fontId="1" type="noConversion"/>
  </si>
  <si>
    <t>81–120</t>
    <phoneticPr fontId="1" type="noConversion"/>
  </si>
  <si>
    <t>121–150</t>
    <phoneticPr fontId="1" type="noConversion"/>
  </si>
  <si>
    <t>More than 150</t>
    <phoneticPr fontId="1" type="noConversion"/>
  </si>
  <si>
    <t>Not more than 80</t>
    <phoneticPr fontId="1" type="noConversion"/>
  </si>
  <si>
    <t>81–120</t>
    <phoneticPr fontId="1" type="noConversion"/>
  </si>
  <si>
    <t>121–150</t>
    <phoneticPr fontId="1" type="noConversion"/>
  </si>
  <si>
    <t>More than 150</t>
    <phoneticPr fontId="1" type="noConversion"/>
  </si>
  <si>
    <t>Not more than 120</t>
    <phoneticPr fontId="1" type="noConversion"/>
  </si>
  <si>
    <t>121–180</t>
    <phoneticPr fontId="1" type="noConversion"/>
  </si>
  <si>
    <t>181–250</t>
    <phoneticPr fontId="1" type="noConversion"/>
  </si>
  <si>
    <t>Number of Watercloset Fitments (where Separate Waterclosets are Not Provided for Male Persons and for Female Persons in Residential Building)</t>
    <phoneticPr fontId="1" type="noConversion"/>
  </si>
  <si>
    <t>Funeral parlours</t>
    <phoneticPr fontId="1" type="noConversion"/>
  </si>
  <si>
    <t xml:space="preserve">Number of Lavatory Basins Provided in Sports Stadium </t>
    <phoneticPr fontId="1" type="noConversion"/>
  </si>
  <si>
    <t xml:space="preserve">Restaurants (Reg. 8 of Cap. 123I) </t>
    <phoneticPr fontId="1" type="noConversion"/>
  </si>
  <si>
    <t>(for Residential Buildings only)</t>
    <phoneticPr fontId="1" type="noConversion"/>
  </si>
  <si>
    <t>No. of
Basin</t>
    <phoneticPr fontId="1" type="noConversion"/>
  </si>
  <si>
    <t>Residential buildings (Reg. 4 of Cap. 123I)</t>
    <phoneticPr fontId="1" type="noConversion"/>
  </si>
  <si>
    <t>Food room of a restaurant (no. of customers &gt; 300)</t>
    <phoneticPr fontId="1" type="noConversion"/>
  </si>
  <si>
    <t>(i)</t>
    <phoneticPr fontId="1" type="noConversion"/>
  </si>
  <si>
    <t>If answer for question (i) is "Yes", whether urinals are provided for Male Persons? (Yes / No)</t>
    <phoneticPr fontId="1" type="noConversion"/>
  </si>
  <si>
    <r>
      <rPr>
        <u/>
        <sz val="12"/>
        <color theme="1"/>
        <rFont val="Arial Narrow"/>
        <family val="2"/>
      </rPr>
      <t>Column 1</t>
    </r>
    <r>
      <rPr>
        <sz val="12"/>
        <color theme="1"/>
        <rFont val="Arial Narrow"/>
        <family val="2"/>
      </rPr>
      <t xml:space="preserve">
Number of persons in residential building
</t>
    </r>
    <phoneticPr fontId="1" type="noConversion"/>
  </si>
  <si>
    <r>
      <rPr>
        <u/>
        <sz val="12"/>
        <color theme="1"/>
        <rFont val="Arial Narrow"/>
        <family val="2"/>
      </rPr>
      <t>Column 2</t>
    </r>
    <r>
      <rPr>
        <sz val="12"/>
        <color theme="1"/>
        <rFont val="Arial Narrow"/>
        <family val="2"/>
      </rPr>
      <t xml:space="preserve">
Number of watercloset fitments
</t>
    </r>
    <phoneticPr fontId="1" type="noConversion"/>
  </si>
  <si>
    <r>
      <rPr>
        <u/>
        <sz val="12"/>
        <color theme="1"/>
        <rFont val="Arial Narrow"/>
        <family val="2"/>
      </rPr>
      <t>Column 1</t>
    </r>
    <r>
      <rPr>
        <sz val="12"/>
        <color theme="1"/>
        <rFont val="Arial Narrow"/>
        <family val="2"/>
      </rPr>
      <t xml:space="preserve">
Number of male persons in residential building</t>
    </r>
    <phoneticPr fontId="1" type="noConversion"/>
  </si>
  <si>
    <r>
      <rPr>
        <u/>
        <sz val="12"/>
        <color theme="1"/>
        <rFont val="Arial Narrow"/>
        <family val="2"/>
      </rPr>
      <t>Column 2</t>
    </r>
    <r>
      <rPr>
        <sz val="12"/>
        <color theme="1"/>
        <rFont val="Arial Narrow"/>
        <family val="2"/>
      </rPr>
      <t xml:space="preserve">
Number of watercloset fitments</t>
    </r>
    <phoneticPr fontId="1" type="noConversion"/>
  </si>
  <si>
    <r>
      <rPr>
        <u/>
        <sz val="12"/>
        <color theme="1"/>
        <rFont val="Arial Narrow"/>
        <family val="2"/>
      </rPr>
      <t>Column 1</t>
    </r>
    <r>
      <rPr>
        <sz val="12"/>
        <color theme="1"/>
        <rFont val="Arial Narrow"/>
        <family val="2"/>
      </rPr>
      <t xml:space="preserve">
Number of female persons in residential building</t>
    </r>
    <phoneticPr fontId="1" type="noConversion"/>
  </si>
  <si>
    <r>
      <rPr>
        <u/>
        <sz val="12"/>
        <color theme="1"/>
        <rFont val="Arial Narrow"/>
        <family val="2"/>
      </rPr>
      <t>Column 3</t>
    </r>
    <r>
      <rPr>
        <sz val="12"/>
        <color theme="1"/>
        <rFont val="Arial Narrow"/>
        <family val="2"/>
      </rPr>
      <t xml:space="preserve">
Number of urinals
</t>
    </r>
    <phoneticPr fontId="1" type="noConversion"/>
  </si>
  <si>
    <r>
      <rPr>
        <u/>
        <sz val="12"/>
        <color theme="1"/>
        <rFont val="Arial Narrow"/>
        <family val="2"/>
      </rPr>
      <t>Column 1</t>
    </r>
    <r>
      <rPr>
        <sz val="12"/>
        <color theme="1"/>
        <rFont val="Arial Narrow"/>
        <family val="2"/>
      </rPr>
      <t xml:space="preserve">
Number of persons in residential building</t>
    </r>
    <phoneticPr fontId="1" type="noConversion"/>
  </si>
  <si>
    <r>
      <rPr>
        <u/>
        <sz val="12"/>
        <color theme="1"/>
        <rFont val="Arial Narrow"/>
        <family val="2"/>
      </rPr>
      <t>Column 2</t>
    </r>
    <r>
      <rPr>
        <sz val="12"/>
        <color theme="1"/>
        <rFont val="Arial Narrow"/>
        <family val="2"/>
      </rPr>
      <t xml:space="preserve">
Number of lavatory basins</t>
    </r>
    <phoneticPr fontId="1" type="noConversion"/>
  </si>
  <si>
    <r>
      <rPr>
        <u/>
        <sz val="12"/>
        <color theme="1"/>
        <rFont val="Arial Narrow"/>
        <family val="2"/>
      </rPr>
      <t>Column 3</t>
    </r>
    <r>
      <rPr>
        <sz val="12"/>
        <color theme="1"/>
        <rFont val="Arial Narrow"/>
        <family val="2"/>
      </rPr>
      <t xml:space="preserve">
Number of baths or showers</t>
    </r>
    <phoneticPr fontId="1" type="noConversion"/>
  </si>
  <si>
    <t>Minium Provisions of Watercloset Fitments, Lavatory Basins and Urinals in Buildings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</si>
</sst>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u/>
      <sz val="12"/>
      <color theme="1"/>
      <name val="Arial Narrow"/>
      <family val="2"/>
    </font>
    <font>
      <sz val="12"/>
      <color theme="0"/>
      <name val="Arial Narrow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0" xfId="0" applyFont="1">
      <alignment vertical="center"/>
    </xf>
    <xf numFmtId="0" fontId="2" fillId="19" borderId="0" xfId="0" applyFont="1" applyFill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2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 wrapText="1"/>
    </xf>
    <xf numFmtId="0" fontId="2" fillId="15" borderId="0" xfId="0" applyFont="1" applyFill="1" applyBorder="1" applyAlignment="1">
      <alignment horizontal="center" vertical="center" wrapText="1"/>
    </xf>
    <xf numFmtId="0" fontId="2" fillId="15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/>
    </xf>
    <xf numFmtId="0" fontId="3" fillId="15" borderId="0" xfId="0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/>
    </xf>
    <xf numFmtId="0" fontId="2" fillId="17" borderId="4" xfId="0" applyFont="1" applyFill="1" applyBorder="1" applyAlignment="1">
      <alignment horizontal="center" vertical="center"/>
    </xf>
    <xf numFmtId="0" fontId="2" fillId="17" borderId="0" xfId="0" applyFont="1" applyFill="1" applyBorder="1">
      <alignment vertical="center"/>
    </xf>
    <xf numFmtId="0" fontId="2" fillId="18" borderId="4" xfId="0" applyFont="1" applyFill="1" applyBorder="1" applyAlignment="1">
      <alignment horizontal="center" vertical="center"/>
    </xf>
    <xf numFmtId="0" fontId="3" fillId="18" borderId="0" xfId="0" applyFont="1" applyFill="1" applyBorder="1" applyAlignment="1">
      <alignment vertical="center" wrapText="1"/>
    </xf>
    <xf numFmtId="0" fontId="3" fillId="18" borderId="0" xfId="0" applyFont="1" applyFill="1" applyBorder="1">
      <alignment vertical="center"/>
    </xf>
    <xf numFmtId="0" fontId="3" fillId="7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20" fontId="3" fillId="0" borderId="0" xfId="0" quotePrefix="1" applyNumberFormat="1" applyFont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17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2" borderId="0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5" borderId="0" xfId="0" applyFont="1" applyFill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5" borderId="7" xfId="0" applyFont="1" applyFill="1" applyBorder="1">
      <alignment vertical="center"/>
    </xf>
    <xf numFmtId="0" fontId="3" fillId="8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3" fillId="5" borderId="0" xfId="0" applyFont="1" applyFill="1">
      <alignment vertical="center"/>
    </xf>
    <xf numFmtId="0" fontId="3" fillId="8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16" borderId="10" xfId="0" applyFont="1" applyFill="1" applyBorder="1" applyAlignment="1">
      <alignment horizontal="center" vertical="center"/>
    </xf>
    <xf numFmtId="0" fontId="3" fillId="16" borderId="11" xfId="0" applyFont="1" applyFill="1" applyBorder="1" applyAlignment="1">
      <alignment horizontal="center" vertical="center"/>
    </xf>
    <xf numFmtId="0" fontId="3" fillId="16" borderId="12" xfId="0" applyFont="1" applyFill="1" applyBorder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2" fillId="10" borderId="0" xfId="0" applyFont="1" applyFill="1">
      <alignment vertical="center"/>
    </xf>
    <xf numFmtId="0" fontId="3" fillId="10" borderId="0" xfId="0" applyFont="1" applyFill="1">
      <alignment vertical="center"/>
    </xf>
    <xf numFmtId="0" fontId="3" fillId="10" borderId="0" xfId="0" applyFont="1" applyFill="1" applyAlignment="1">
      <alignment horizontal="center" vertical="center" wrapText="1"/>
    </xf>
    <xf numFmtId="0" fontId="3" fillId="10" borderId="0" xfId="0" applyFont="1" applyFill="1" applyAlignment="1">
      <alignment horizontal="center" vertical="top"/>
    </xf>
    <xf numFmtId="0" fontId="3" fillId="10" borderId="0" xfId="0" applyFont="1" applyFill="1" applyAlignment="1">
      <alignment horizontal="left" vertical="top"/>
    </xf>
    <xf numFmtId="0" fontId="2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11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13" borderId="7" xfId="0" applyFont="1" applyFill="1" applyBorder="1" applyAlignment="1">
      <alignment horizontal="left" vertical="center"/>
    </xf>
    <xf numFmtId="0" fontId="2" fillId="13" borderId="7" xfId="0" applyFont="1" applyFill="1" applyBorder="1" applyAlignment="1">
      <alignment horizontal="center" vertical="center"/>
    </xf>
    <xf numFmtId="0" fontId="2" fillId="13" borderId="8" xfId="0" applyFont="1" applyFill="1" applyBorder="1" applyAlignment="1">
      <alignment horizontal="center" vertical="center"/>
    </xf>
    <xf numFmtId="0" fontId="2" fillId="13" borderId="7" xfId="0" applyFont="1" applyFill="1" applyBorder="1">
      <alignment vertical="center"/>
    </xf>
    <xf numFmtId="0" fontId="3" fillId="13" borderId="7" xfId="0" applyFont="1" applyFill="1" applyBorder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center" vertical="top" wrapText="1"/>
    </xf>
    <xf numFmtId="0" fontId="3" fillId="10" borderId="0" xfId="0" applyFont="1" applyFill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11" borderId="0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right" vertical="center"/>
    </xf>
    <xf numFmtId="0" fontId="2" fillId="14" borderId="3" xfId="0" applyFont="1" applyFill="1" applyBorder="1" applyAlignment="1">
      <alignment horizontal="center" vertical="center"/>
    </xf>
    <xf numFmtId="0" fontId="3" fillId="13" borderId="7" xfId="0" applyFont="1" applyFill="1" applyBorder="1">
      <alignment vertical="center"/>
    </xf>
    <xf numFmtId="0" fontId="3" fillId="14" borderId="6" xfId="0" applyFont="1" applyFill="1" applyBorder="1" applyAlignment="1">
      <alignment horizontal="right" vertical="center"/>
    </xf>
    <xf numFmtId="0" fontId="2" fillId="14" borderId="8" xfId="0" applyFont="1" applyFill="1" applyBorder="1" applyAlignment="1">
      <alignment horizontal="center" vertical="center"/>
    </xf>
    <xf numFmtId="0" fontId="2" fillId="13" borderId="0" xfId="0" applyFont="1" applyFill="1" applyBorder="1" applyAlignment="1">
      <alignment horizontal="left" vertical="center"/>
    </xf>
    <xf numFmtId="0" fontId="2" fillId="13" borderId="0" xfId="0" applyFont="1" applyFill="1" applyBorder="1">
      <alignment vertical="center"/>
    </xf>
    <xf numFmtId="0" fontId="2" fillId="13" borderId="0" xfId="0" applyFont="1" applyFill="1" applyBorder="1" applyAlignment="1">
      <alignment horizontal="center" vertical="center"/>
    </xf>
    <xf numFmtId="0" fontId="2" fillId="13" borderId="5" xfId="0" applyFont="1" applyFill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11" borderId="7" xfId="0" applyFont="1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0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2" fillId="10" borderId="0" xfId="0" applyFont="1" applyFill="1" applyAlignment="1">
      <alignment horizontal="left" vertical="center"/>
    </xf>
    <xf numFmtId="0" fontId="4" fillId="10" borderId="0" xfId="0" applyFont="1" applyFill="1" applyAlignment="1">
      <alignment horizontal="center" vertical="center"/>
    </xf>
    <xf numFmtId="0" fontId="3" fillId="10" borderId="0" xfId="0" applyFont="1" applyFill="1" applyAlignment="1">
      <alignment vertical="top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top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2" fillId="11" borderId="9" xfId="0" applyFont="1" applyFill="1" applyBorder="1" applyAlignment="1" applyProtection="1">
      <alignment horizontal="center" vertical="center" wrapText="1"/>
      <protection locked="0"/>
    </xf>
    <xf numFmtId="0" fontId="2" fillId="11" borderId="9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4"/>
  <sheetViews>
    <sheetView tabSelected="1" zoomScale="70" zoomScaleNormal="70" workbookViewId="0">
      <pane xSplit="8" ySplit="2" topLeftCell="I3" activePane="bottomRight" state="frozen"/>
      <selection pane="topRight" activeCell="H1" sqref="H1"/>
      <selection pane="bottomLeft" activeCell="A3" sqref="A3"/>
      <selection pane="bottomRight" activeCell="D14" sqref="D14"/>
    </sheetView>
  </sheetViews>
  <sheetFormatPr defaultRowHeight="15.75" x14ac:dyDescent="0.25"/>
  <cols>
    <col min="1" max="1" width="3.75" style="55" customWidth="1"/>
    <col min="2" max="2" width="57.75" style="3" customWidth="1"/>
    <col min="3" max="3" width="4.875" style="56" customWidth="1"/>
    <col min="4" max="5" width="10.625" style="3" customWidth="1"/>
    <col min="6" max="6" width="16.25" style="56" customWidth="1"/>
    <col min="7" max="7" width="14.625" style="3" customWidth="1"/>
    <col min="8" max="8" width="14.375" style="57" hidden="1" customWidth="1"/>
    <col min="9" max="9" width="15.875" style="3" customWidth="1"/>
    <col min="10" max="10" width="12.125" style="57" hidden="1" customWidth="1"/>
    <col min="11" max="11" width="12.375" style="3" customWidth="1"/>
    <col min="12" max="12" width="12.875" style="57" hidden="1" customWidth="1"/>
    <col min="13" max="13" width="13.625" style="3" customWidth="1"/>
    <col min="14" max="14" width="7.875" style="58" customWidth="1"/>
    <col min="15" max="15" width="8.375" style="58" customWidth="1"/>
    <col min="16" max="16" width="7.625" style="58" customWidth="1"/>
    <col min="17" max="17" width="8.125" style="59" customWidth="1"/>
    <col min="18" max="18" width="8.25" style="59" customWidth="1"/>
    <col min="19" max="20" width="7.75" style="60" customWidth="1"/>
    <col min="21" max="21" width="13.875" style="56" customWidth="1"/>
    <col min="22" max="22" width="15.25" style="56" customWidth="1"/>
    <col min="23" max="16384" width="9" style="3"/>
  </cols>
  <sheetData>
    <row r="1" spans="1:22" ht="26.25" customHeight="1" thickTop="1" x14ac:dyDescent="0.25">
      <c r="A1" s="129" t="s">
        <v>459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24" t="s">
        <v>10</v>
      </c>
      <c r="O1" s="124"/>
      <c r="P1" s="124"/>
      <c r="Q1" s="125" t="s">
        <v>11</v>
      </c>
      <c r="R1" s="125"/>
      <c r="S1" s="126" t="s">
        <v>65</v>
      </c>
      <c r="T1" s="126"/>
      <c r="U1" s="127" t="s">
        <v>444</v>
      </c>
      <c r="V1" s="128"/>
    </row>
    <row r="2" spans="1:22" ht="31.5" x14ac:dyDescent="0.25">
      <c r="A2" s="4"/>
      <c r="B2" s="4" t="s">
        <v>3</v>
      </c>
      <c r="C2" s="5"/>
      <c r="D2" s="6" t="s">
        <v>61</v>
      </c>
      <c r="E2" s="6" t="s">
        <v>168</v>
      </c>
      <c r="F2" s="6" t="s">
        <v>60</v>
      </c>
      <c r="G2" s="6" t="s">
        <v>58</v>
      </c>
      <c r="H2" s="7" t="s">
        <v>0</v>
      </c>
      <c r="I2" s="6" t="s">
        <v>4</v>
      </c>
      <c r="J2" s="7" t="s">
        <v>1</v>
      </c>
      <c r="K2" s="6" t="s">
        <v>5</v>
      </c>
      <c r="L2" s="7" t="s">
        <v>2</v>
      </c>
      <c r="M2" s="6" t="s">
        <v>6</v>
      </c>
      <c r="N2" s="8" t="s">
        <v>7</v>
      </c>
      <c r="O2" s="8" t="s">
        <v>8</v>
      </c>
      <c r="P2" s="8" t="s">
        <v>9</v>
      </c>
      <c r="Q2" s="9" t="s">
        <v>7</v>
      </c>
      <c r="R2" s="9" t="s">
        <v>9</v>
      </c>
      <c r="S2" s="10" t="s">
        <v>7</v>
      </c>
      <c r="T2" s="10" t="s">
        <v>9</v>
      </c>
      <c r="U2" s="11" t="s">
        <v>445</v>
      </c>
      <c r="V2" s="12" t="s">
        <v>57</v>
      </c>
    </row>
    <row r="3" spans="1:22" x14ac:dyDescent="0.25">
      <c r="A3" s="13"/>
      <c r="B3" s="14"/>
      <c r="C3" s="5"/>
      <c r="D3" s="5"/>
      <c r="E3" s="5"/>
      <c r="F3" s="5"/>
      <c r="G3" s="14"/>
      <c r="H3" s="7"/>
      <c r="I3" s="15"/>
      <c r="J3" s="7"/>
      <c r="K3" s="15"/>
      <c r="L3" s="7"/>
      <c r="M3" s="15"/>
      <c r="N3" s="8"/>
      <c r="O3" s="8"/>
      <c r="P3" s="8"/>
      <c r="Q3" s="9"/>
      <c r="R3" s="9"/>
      <c r="S3" s="16"/>
      <c r="T3" s="16"/>
      <c r="U3" s="17"/>
      <c r="V3" s="18"/>
    </row>
    <row r="4" spans="1:22" ht="16.5" thickBot="1" x14ac:dyDescent="0.3">
      <c r="A4" s="19">
        <v>1</v>
      </c>
      <c r="B4" s="20" t="s">
        <v>446</v>
      </c>
      <c r="C4" s="5"/>
      <c r="D4" s="5"/>
      <c r="E4" s="5"/>
      <c r="F4" s="5"/>
      <c r="G4" s="14"/>
      <c r="H4" s="7"/>
      <c r="I4" s="15"/>
      <c r="J4" s="7"/>
      <c r="K4" s="15"/>
      <c r="L4" s="7"/>
      <c r="M4" s="15"/>
      <c r="N4" s="8"/>
      <c r="O4" s="8"/>
      <c r="P4" s="8"/>
      <c r="Q4" s="9"/>
      <c r="R4" s="9"/>
      <c r="S4" s="16"/>
      <c r="T4" s="16"/>
      <c r="U4" s="17"/>
      <c r="V4" s="18"/>
    </row>
    <row r="5" spans="1:22" ht="33" thickTop="1" thickBot="1" x14ac:dyDescent="0.3">
      <c r="A5" s="21" t="s">
        <v>448</v>
      </c>
      <c r="B5" s="22" t="s">
        <v>64</v>
      </c>
      <c r="C5" s="122" t="s">
        <v>68</v>
      </c>
      <c r="D5" s="5"/>
      <c r="E5" s="5"/>
      <c r="F5" s="5"/>
      <c r="G5" s="14"/>
      <c r="H5" s="7"/>
      <c r="I5" s="15"/>
      <c r="J5" s="7"/>
      <c r="K5" s="15"/>
      <c r="L5" s="7"/>
      <c r="M5" s="15"/>
      <c r="N5" s="8"/>
      <c r="O5" s="8"/>
      <c r="P5" s="8"/>
      <c r="Q5" s="9"/>
      <c r="R5" s="9"/>
      <c r="S5" s="16"/>
      <c r="T5" s="16"/>
      <c r="U5" s="17"/>
      <c r="V5" s="18"/>
    </row>
    <row r="6" spans="1:22" ht="36" customHeight="1" thickTop="1" thickBot="1" x14ac:dyDescent="0.3">
      <c r="A6" s="21"/>
      <c r="B6" s="22" t="s">
        <v>449</v>
      </c>
      <c r="C6" s="122" t="s">
        <v>68</v>
      </c>
      <c r="D6" s="5"/>
      <c r="E6" s="5"/>
      <c r="F6" s="5"/>
      <c r="G6" s="14"/>
      <c r="H6" s="7"/>
      <c r="I6" s="15"/>
      <c r="J6" s="7"/>
      <c r="K6" s="15"/>
      <c r="L6" s="7"/>
      <c r="M6" s="15"/>
      <c r="N6" s="8"/>
      <c r="O6" s="8"/>
      <c r="P6" s="8"/>
      <c r="Q6" s="9"/>
      <c r="R6" s="9"/>
      <c r="S6" s="16"/>
      <c r="T6" s="16"/>
      <c r="U6" s="17"/>
      <c r="V6" s="18"/>
    </row>
    <row r="7" spans="1:22" ht="17.25" thickTop="1" thickBot="1" x14ac:dyDescent="0.3">
      <c r="A7" s="21" t="s">
        <v>12</v>
      </c>
      <c r="B7" s="23" t="s">
        <v>142</v>
      </c>
      <c r="C7" s="24"/>
      <c r="D7" s="123">
        <v>90</v>
      </c>
      <c r="E7" s="25" t="s">
        <v>59</v>
      </c>
      <c r="F7" s="26" t="s">
        <v>163</v>
      </c>
      <c r="G7" s="27" t="s">
        <v>63</v>
      </c>
      <c r="H7" s="28">
        <f>D7/3</f>
        <v>30</v>
      </c>
      <c r="I7" s="25">
        <f>ROUNDUP(H7,0)</f>
        <v>30</v>
      </c>
      <c r="J7" s="29">
        <f>I7/2</f>
        <v>15</v>
      </c>
      <c r="K7" s="25">
        <f>ROUNDUP(J7,0)</f>
        <v>15</v>
      </c>
      <c r="L7" s="29">
        <f>I7/2</f>
        <v>15</v>
      </c>
      <c r="M7" s="25">
        <f>ROUNDUP(L7,0)</f>
        <v>15</v>
      </c>
      <c r="N7" s="30">
        <f>IF(C5="Yes",Residential!J45,"N/A")</f>
        <v>2</v>
      </c>
      <c r="O7" s="30">
        <f>IF(AND(C5="Yes",C6="Yes"),Residential!F66,"N/A")</f>
        <v>2</v>
      </c>
      <c r="P7" s="30" t="s">
        <v>59</v>
      </c>
      <c r="Q7" s="31">
        <f>IF(C5="Yes",Residential!F46,"N/A")</f>
        <v>2</v>
      </c>
      <c r="R7" s="31" t="s">
        <v>59</v>
      </c>
      <c r="S7" s="16" t="str">
        <f>IF(C5="No",Residential!D18,"N/A")</f>
        <v>N/A</v>
      </c>
      <c r="T7" s="16" t="s">
        <v>59</v>
      </c>
      <c r="U7" s="17">
        <f>Residential!D91</f>
        <v>3</v>
      </c>
      <c r="V7" s="18">
        <f>Residential!F91</f>
        <v>3</v>
      </c>
    </row>
    <row r="8" spans="1:22" ht="17.25" thickTop="1" thickBot="1" x14ac:dyDescent="0.3">
      <c r="A8" s="21" t="s">
        <v>13</v>
      </c>
      <c r="B8" s="23" t="s">
        <v>143</v>
      </c>
      <c r="C8" s="24"/>
      <c r="D8" s="123">
        <v>145</v>
      </c>
      <c r="E8" s="25" t="s">
        <v>59</v>
      </c>
      <c r="F8" s="26" t="s">
        <v>164</v>
      </c>
      <c r="G8" s="27" t="s">
        <v>63</v>
      </c>
      <c r="H8" s="28">
        <f>D8/9</f>
        <v>16.111111111111111</v>
      </c>
      <c r="I8" s="25">
        <f>ROUNDUP(H8,0)</f>
        <v>17</v>
      </c>
      <c r="J8" s="29">
        <f>I8/2</f>
        <v>8.5</v>
      </c>
      <c r="K8" s="25">
        <f>ROUNDUP(J8,0)</f>
        <v>9</v>
      </c>
      <c r="L8" s="29">
        <f>I8/2</f>
        <v>8.5</v>
      </c>
      <c r="M8" s="25">
        <f>ROUNDUP(L8,0)</f>
        <v>9</v>
      </c>
      <c r="N8" s="30">
        <f>IF(C5="Yes",Residential!J51,"N/A")</f>
        <v>1</v>
      </c>
      <c r="O8" s="30">
        <f>IF(AND(C5="Yes",C6="Yes"),Residential!F75,"N/A")</f>
        <v>1</v>
      </c>
      <c r="P8" s="30" t="s">
        <v>59</v>
      </c>
      <c r="Q8" s="31">
        <f>IF(C5="Yes",Residential!F52,"N/A")</f>
        <v>2</v>
      </c>
      <c r="R8" s="31" t="s">
        <v>59</v>
      </c>
      <c r="S8" s="16" t="str">
        <f>IF(C5="No",Residential!D25,"N/A")</f>
        <v>N/A</v>
      </c>
      <c r="T8" s="16" t="s">
        <v>59</v>
      </c>
      <c r="U8" s="17">
        <f>Residential!D97</f>
        <v>2</v>
      </c>
      <c r="V8" s="18">
        <f>Residential!F97</f>
        <v>2</v>
      </c>
    </row>
    <row r="9" spans="1:22" ht="16.5" thickTop="1" x14ac:dyDescent="0.25">
      <c r="A9" s="13"/>
      <c r="B9" s="14"/>
      <c r="C9" s="5"/>
      <c r="D9" s="5"/>
      <c r="E9" s="5"/>
      <c r="F9" s="32"/>
      <c r="G9" s="14"/>
      <c r="H9" s="7"/>
      <c r="I9" s="15"/>
      <c r="J9" s="7"/>
      <c r="K9" s="15"/>
      <c r="L9" s="7"/>
      <c r="M9" s="15"/>
      <c r="N9" s="8"/>
      <c r="O9" s="8"/>
      <c r="P9" s="8"/>
      <c r="Q9" s="9"/>
      <c r="R9" s="9"/>
      <c r="S9" s="16"/>
      <c r="T9" s="16"/>
      <c r="U9" s="33"/>
      <c r="V9" s="34"/>
    </row>
    <row r="10" spans="1:22" x14ac:dyDescent="0.25">
      <c r="A10" s="13"/>
      <c r="B10" s="14"/>
      <c r="C10" s="5"/>
      <c r="D10" s="5"/>
      <c r="E10" s="5"/>
      <c r="F10" s="32"/>
      <c r="G10" s="14"/>
      <c r="H10" s="7"/>
      <c r="I10" s="15"/>
      <c r="J10" s="7"/>
      <c r="K10" s="15"/>
      <c r="L10" s="7"/>
      <c r="M10" s="15"/>
      <c r="N10" s="8"/>
      <c r="O10" s="8"/>
      <c r="P10" s="8"/>
      <c r="Q10" s="9"/>
      <c r="R10" s="9"/>
      <c r="S10" s="16"/>
      <c r="T10" s="16"/>
      <c r="U10" s="33"/>
      <c r="V10" s="34"/>
    </row>
    <row r="11" spans="1:22" x14ac:dyDescent="0.25">
      <c r="A11" s="13"/>
      <c r="B11" s="14"/>
      <c r="C11" s="5"/>
      <c r="D11" s="5"/>
      <c r="E11" s="5"/>
      <c r="F11" s="32"/>
      <c r="G11" s="14"/>
      <c r="H11" s="7"/>
      <c r="I11" s="15"/>
      <c r="J11" s="7"/>
      <c r="K11" s="15"/>
      <c r="L11" s="7"/>
      <c r="M11" s="15"/>
      <c r="N11" s="8"/>
      <c r="O11" s="8"/>
      <c r="P11" s="8"/>
      <c r="Q11" s="9"/>
      <c r="R11" s="9"/>
      <c r="S11" s="16"/>
      <c r="T11" s="16"/>
      <c r="U11" s="33"/>
      <c r="V11" s="34"/>
    </row>
    <row r="12" spans="1:22" ht="16.5" thickBot="1" x14ac:dyDescent="0.3">
      <c r="A12" s="35">
        <v>2</v>
      </c>
      <c r="B12" s="20" t="s">
        <v>152</v>
      </c>
      <c r="C12" s="5"/>
      <c r="D12" s="5"/>
      <c r="E12" s="5"/>
      <c r="F12" s="32"/>
      <c r="G12" s="14"/>
      <c r="H12" s="7"/>
      <c r="I12" s="15"/>
      <c r="J12" s="7"/>
      <c r="K12" s="15"/>
      <c r="L12" s="7"/>
      <c r="M12" s="15"/>
      <c r="N12" s="8"/>
      <c r="O12" s="8"/>
      <c r="P12" s="8"/>
      <c r="Q12" s="9"/>
      <c r="R12" s="9"/>
      <c r="S12" s="16"/>
      <c r="T12" s="16"/>
      <c r="U12" s="33"/>
      <c r="V12" s="34"/>
    </row>
    <row r="13" spans="1:22" ht="17.25" thickTop="1" thickBot="1" x14ac:dyDescent="0.3">
      <c r="A13" s="21" t="s">
        <v>73</v>
      </c>
      <c r="B13" s="23" t="s">
        <v>144</v>
      </c>
      <c r="C13" s="24"/>
      <c r="D13" s="123">
        <v>4000</v>
      </c>
      <c r="E13" s="25" t="s">
        <v>59</v>
      </c>
      <c r="F13" s="26" t="s">
        <v>164</v>
      </c>
      <c r="G13" s="27" t="s">
        <v>63</v>
      </c>
      <c r="H13" s="28">
        <f>D13/9</f>
        <v>444.44444444444446</v>
      </c>
      <c r="I13" s="25">
        <f>IF(D13&lt;=0,0,ROUNDUP(H13,0))</f>
        <v>445</v>
      </c>
      <c r="J13" s="29">
        <f>I13/2</f>
        <v>222.5</v>
      </c>
      <c r="K13" s="25">
        <f>ROUNDUP(J13,0)</f>
        <v>223</v>
      </c>
      <c r="L13" s="29">
        <f>I13/2</f>
        <v>222.5</v>
      </c>
      <c r="M13" s="25">
        <f>ROUNDUP(L13,0)</f>
        <v>223</v>
      </c>
      <c r="N13" s="36">
        <f>IF(I13&gt;10,Workplace!D29,"N/A")</f>
        <v>7</v>
      </c>
      <c r="O13" s="36">
        <f>IF(I13&gt;10,Workplace!F29,"N/A")</f>
        <v>5</v>
      </c>
      <c r="P13" s="36">
        <f>IF(I13&gt;10,Workplace!D127,"N/A")</f>
        <v>7</v>
      </c>
      <c r="Q13" s="37">
        <f>IF(I13&gt;10,Workplace!D75,"N/A")</f>
        <v>10</v>
      </c>
      <c r="R13" s="37">
        <f>IF(I13&gt;10,Workplace!F127,"N/A")</f>
        <v>7</v>
      </c>
      <c r="S13" s="16" t="str">
        <f>IF(D13&lt;=0,"N/A",IF(I13&gt;10,"N/A",Workplace!C11))</f>
        <v>N/A</v>
      </c>
      <c r="T13" s="16" t="str">
        <f>IF(D13&lt;=0,"N/A",IF(I13&gt;10,"N/A",Workplace!D11))</f>
        <v>N/A</v>
      </c>
      <c r="U13" s="33"/>
      <c r="V13" s="34"/>
    </row>
    <row r="14" spans="1:22" ht="17.25" thickTop="1" thickBot="1" x14ac:dyDescent="0.3">
      <c r="A14" s="21" t="s">
        <v>74</v>
      </c>
      <c r="B14" s="23" t="s">
        <v>145</v>
      </c>
      <c r="C14" s="24"/>
      <c r="D14" s="123">
        <v>500</v>
      </c>
      <c r="E14" s="25" t="s">
        <v>59</v>
      </c>
      <c r="F14" s="26" t="s">
        <v>165</v>
      </c>
      <c r="G14" s="27" t="s">
        <v>63</v>
      </c>
      <c r="H14" s="29">
        <f>D14/4.5</f>
        <v>111.11111111111111</v>
      </c>
      <c r="I14" s="25">
        <f>IF(D14&lt;=0,0,ROUNDUP(H14,0))</f>
        <v>112</v>
      </c>
      <c r="J14" s="29">
        <f t="shared" ref="J14:J17" si="0">I14/2</f>
        <v>56</v>
      </c>
      <c r="K14" s="25">
        <f t="shared" ref="K14:K17" si="1">ROUNDUP(J14,0)</f>
        <v>56</v>
      </c>
      <c r="L14" s="29">
        <f t="shared" ref="L14:L17" si="2">I14/2</f>
        <v>56</v>
      </c>
      <c r="M14" s="25">
        <f t="shared" ref="M14:M17" si="3">ROUNDUP(L14,0)</f>
        <v>56</v>
      </c>
      <c r="N14" s="36">
        <f>IF(I14&gt;10,Workplace!D36,"N/A")</f>
        <v>3</v>
      </c>
      <c r="O14" s="36">
        <f>IF(I14&gt;10,Workplace!F36,"N/A")</f>
        <v>2</v>
      </c>
      <c r="P14" s="36">
        <f>IF(I14&gt;10,Workplace!D133,"N/A")</f>
        <v>3</v>
      </c>
      <c r="Q14" s="37">
        <f>IF(I14&gt;10,Workplace!D82,"N/A")</f>
        <v>4</v>
      </c>
      <c r="R14" s="37">
        <f>IF(I14&gt;10,Workplace!F133,"N/A")</f>
        <v>3</v>
      </c>
      <c r="S14" s="16" t="str">
        <f>IF(D14&lt;=0,"N/A",IF(I14&gt;10,"N/A",Workplace!C11))</f>
        <v>N/A</v>
      </c>
      <c r="T14" s="16" t="str">
        <f>IF(D14&lt;=0,"N/A",IF(I14&gt;10,"N/A",Workplace!D11))</f>
        <v>N/A</v>
      </c>
      <c r="U14" s="33"/>
      <c r="V14" s="34"/>
    </row>
    <row r="15" spans="1:22" ht="17.25" thickTop="1" thickBot="1" x14ac:dyDescent="0.3">
      <c r="A15" s="21" t="s">
        <v>75</v>
      </c>
      <c r="B15" s="23" t="s">
        <v>146</v>
      </c>
      <c r="C15" s="24"/>
      <c r="D15" s="123">
        <v>600</v>
      </c>
      <c r="E15" s="25" t="s">
        <v>59</v>
      </c>
      <c r="F15" s="26" t="s">
        <v>166</v>
      </c>
      <c r="G15" s="27" t="s">
        <v>63</v>
      </c>
      <c r="H15" s="29">
        <f>D15/30</f>
        <v>20</v>
      </c>
      <c r="I15" s="25">
        <f>IF(D15&lt;=0,0,ROUNDUP(H15,0))</f>
        <v>20</v>
      </c>
      <c r="J15" s="29">
        <f t="shared" si="0"/>
        <v>10</v>
      </c>
      <c r="K15" s="25">
        <f t="shared" si="1"/>
        <v>10</v>
      </c>
      <c r="L15" s="29">
        <f t="shared" si="2"/>
        <v>10</v>
      </c>
      <c r="M15" s="25">
        <f t="shared" si="3"/>
        <v>10</v>
      </c>
      <c r="N15" s="36">
        <f>IF(I15&gt;10,Workplace!D43,"N/A")</f>
        <v>1</v>
      </c>
      <c r="O15" s="36">
        <f>IF(I15&gt;10,Workplace!F43,"N/A")</f>
        <v>0</v>
      </c>
      <c r="P15" s="36">
        <f>IF(I15&gt;10,Workplace!D139,"N/A")</f>
        <v>1</v>
      </c>
      <c r="Q15" s="37">
        <f>IF(I15&gt;10,Workplace!D89,"N/A")</f>
        <v>1</v>
      </c>
      <c r="R15" s="37">
        <f>IF(I15&gt;10,Workplace!F139,"N/A")</f>
        <v>1</v>
      </c>
      <c r="S15" s="16" t="str">
        <f>IF(D15&lt;=0,"N/A",IF(I15&gt;10,"N/A",Workplace!C11))</f>
        <v>N/A</v>
      </c>
      <c r="T15" s="16" t="str">
        <f>IF(D15&lt;=0,"N/A",IF(I15&gt;10,"N/A",Workplace!D11))</f>
        <v>N/A</v>
      </c>
      <c r="U15" s="33"/>
      <c r="V15" s="34"/>
    </row>
    <row r="16" spans="1:22" ht="17.25" thickTop="1" thickBot="1" x14ac:dyDescent="0.3">
      <c r="A16" s="21" t="s">
        <v>76</v>
      </c>
      <c r="B16" s="23" t="s">
        <v>147</v>
      </c>
      <c r="C16" s="24"/>
      <c r="D16" s="123">
        <v>700</v>
      </c>
      <c r="E16" s="25" t="s">
        <v>59</v>
      </c>
      <c r="F16" s="26" t="s">
        <v>167</v>
      </c>
      <c r="G16" s="27" t="s">
        <v>63</v>
      </c>
      <c r="H16" s="29">
        <f>D16/15</f>
        <v>46.666666666666664</v>
      </c>
      <c r="I16" s="25">
        <f t="shared" ref="I16:I17" si="4">IF(D16&lt;=0,0,ROUNDUP(H16,0))</f>
        <v>47</v>
      </c>
      <c r="J16" s="29">
        <f t="shared" si="0"/>
        <v>23.5</v>
      </c>
      <c r="K16" s="25">
        <f t="shared" si="1"/>
        <v>24</v>
      </c>
      <c r="L16" s="29">
        <f t="shared" si="2"/>
        <v>23.5</v>
      </c>
      <c r="M16" s="25">
        <f t="shared" si="3"/>
        <v>24</v>
      </c>
      <c r="N16" s="36">
        <f>IF(I16&gt;10,Workplace!D50,"N/A")</f>
        <v>1</v>
      </c>
      <c r="O16" s="36">
        <f>IF(I16&gt;10,Workplace!F50,"N/A")</f>
        <v>1</v>
      </c>
      <c r="P16" s="36">
        <f>IF(I16&gt;10,Workplace!D145,"N/A")</f>
        <v>1</v>
      </c>
      <c r="Q16" s="37">
        <f>IF(I16&gt;10,Workplace!D96,"N/A")</f>
        <v>2</v>
      </c>
      <c r="R16" s="37">
        <f>IF(I16&gt;10,Workplace!F145,"N/A")</f>
        <v>1</v>
      </c>
      <c r="S16" s="16" t="str">
        <f>IF(D16&lt;=0,"N/A",IF(I16&gt;10,"N/A",Workplace!C11))</f>
        <v>N/A</v>
      </c>
      <c r="T16" s="16" t="str">
        <f>IF(D16&lt;=0,"N/A",IF(I16&gt;10,"N/A",Workplace!D11))</f>
        <v>N/A</v>
      </c>
      <c r="U16" s="33"/>
      <c r="V16" s="34"/>
    </row>
    <row r="17" spans="1:22" ht="17.25" thickTop="1" thickBot="1" x14ac:dyDescent="0.3">
      <c r="A17" s="21" t="s">
        <v>77</v>
      </c>
      <c r="B17" s="23" t="s">
        <v>447</v>
      </c>
      <c r="C17" s="24"/>
      <c r="D17" s="123">
        <v>800</v>
      </c>
      <c r="E17" s="25" t="s">
        <v>59</v>
      </c>
      <c r="F17" s="26" t="s">
        <v>165</v>
      </c>
      <c r="G17" s="27" t="s">
        <v>63</v>
      </c>
      <c r="H17" s="29">
        <f>D17/4.5</f>
        <v>177.77777777777777</v>
      </c>
      <c r="I17" s="25">
        <f t="shared" si="4"/>
        <v>178</v>
      </c>
      <c r="J17" s="29">
        <f t="shared" si="0"/>
        <v>89</v>
      </c>
      <c r="K17" s="25">
        <f t="shared" si="1"/>
        <v>89</v>
      </c>
      <c r="L17" s="29">
        <f t="shared" si="2"/>
        <v>89</v>
      </c>
      <c r="M17" s="25">
        <f t="shared" si="3"/>
        <v>89</v>
      </c>
      <c r="N17" s="36">
        <f>IF(I17&gt;10,Workplace!D57,"N/A")</f>
        <v>4</v>
      </c>
      <c r="O17" s="36">
        <f>IF(I17&gt;10,Workplace!F57,"N/A")</f>
        <v>2</v>
      </c>
      <c r="P17" s="36">
        <f>IF(I17&gt;10,Workplace!D151,"N/A")</f>
        <v>4</v>
      </c>
      <c r="Q17" s="37">
        <f>IF(I17&gt;10,Workplace!D103,"N/A")</f>
        <v>5</v>
      </c>
      <c r="R17" s="37">
        <f>IF(I17&gt;10,Workplace!F151,"N/A")</f>
        <v>4</v>
      </c>
      <c r="S17" s="16" t="str">
        <f>IF(D17&lt;=0,"N/A",IF(I17&gt;10,"N/A",Workplace!C11))</f>
        <v>N/A</v>
      </c>
      <c r="T17" s="16" t="str">
        <f>IF(D17&lt;=0,"N/A",IF(I17&gt;10,"N/A",Workplace!D11))</f>
        <v>N/A</v>
      </c>
      <c r="U17" s="33"/>
      <c r="V17" s="34"/>
    </row>
    <row r="18" spans="1:22" ht="16.5" thickTop="1" x14ac:dyDescent="0.25">
      <c r="A18" s="13"/>
      <c r="B18" s="38"/>
      <c r="C18" s="25"/>
      <c r="D18" s="38"/>
      <c r="E18" s="38"/>
      <c r="F18" s="26"/>
      <c r="G18" s="38"/>
      <c r="H18" s="39"/>
      <c r="I18" s="38"/>
      <c r="J18" s="39"/>
      <c r="K18" s="38"/>
      <c r="L18" s="39"/>
      <c r="M18" s="38"/>
      <c r="N18" s="40"/>
      <c r="O18" s="40"/>
      <c r="P18" s="40"/>
      <c r="Q18" s="41"/>
      <c r="R18" s="41"/>
      <c r="S18" s="16"/>
      <c r="T18" s="16"/>
      <c r="U18" s="33"/>
      <c r="V18" s="34"/>
    </row>
    <row r="19" spans="1:22" x14ac:dyDescent="0.25">
      <c r="A19" s="13"/>
      <c r="B19" s="38"/>
      <c r="C19" s="25"/>
      <c r="D19" s="38"/>
      <c r="E19" s="38"/>
      <c r="F19" s="26"/>
      <c r="G19" s="38"/>
      <c r="H19" s="39"/>
      <c r="I19" s="38"/>
      <c r="J19" s="39"/>
      <c r="K19" s="38"/>
      <c r="L19" s="39"/>
      <c r="M19" s="38"/>
      <c r="N19" s="40"/>
      <c r="O19" s="40"/>
      <c r="P19" s="40"/>
      <c r="Q19" s="41"/>
      <c r="R19" s="41"/>
      <c r="S19" s="16"/>
      <c r="T19" s="16"/>
      <c r="U19" s="33"/>
      <c r="V19" s="34"/>
    </row>
    <row r="20" spans="1:22" x14ac:dyDescent="0.25">
      <c r="A20" s="13"/>
      <c r="B20" s="38"/>
      <c r="C20" s="25"/>
      <c r="D20" s="38"/>
      <c r="E20" s="38"/>
      <c r="F20" s="26"/>
      <c r="G20" s="38"/>
      <c r="H20" s="39"/>
      <c r="I20" s="38"/>
      <c r="J20" s="39"/>
      <c r="K20" s="38"/>
      <c r="L20" s="39"/>
      <c r="M20" s="38"/>
      <c r="N20" s="40"/>
      <c r="O20" s="40"/>
      <c r="P20" s="40"/>
      <c r="Q20" s="41"/>
      <c r="R20" s="41"/>
      <c r="S20" s="16"/>
      <c r="T20" s="16"/>
      <c r="U20" s="33"/>
      <c r="V20" s="34"/>
    </row>
    <row r="21" spans="1:22" ht="16.5" thickBot="1" x14ac:dyDescent="0.3">
      <c r="A21" s="19">
        <v>3</v>
      </c>
      <c r="B21" s="20" t="s">
        <v>153</v>
      </c>
      <c r="C21" s="25"/>
      <c r="D21" s="38"/>
      <c r="E21" s="38"/>
      <c r="F21" s="26"/>
      <c r="G21" s="38"/>
      <c r="H21" s="39"/>
      <c r="I21" s="38"/>
      <c r="J21" s="39"/>
      <c r="K21" s="38"/>
      <c r="L21" s="39"/>
      <c r="M21" s="38"/>
      <c r="N21" s="40"/>
      <c r="O21" s="40"/>
      <c r="P21" s="40"/>
      <c r="Q21" s="41"/>
      <c r="R21" s="41"/>
      <c r="S21" s="16"/>
      <c r="T21" s="16"/>
      <c r="U21" s="33"/>
      <c r="V21" s="34"/>
    </row>
    <row r="22" spans="1:22" ht="17.25" thickTop="1" thickBot="1" x14ac:dyDescent="0.3">
      <c r="A22" s="21" t="s">
        <v>73</v>
      </c>
      <c r="B22" s="23" t="s">
        <v>157</v>
      </c>
      <c r="C22" s="24"/>
      <c r="D22" s="123">
        <v>500</v>
      </c>
      <c r="E22" s="25" t="s">
        <v>59</v>
      </c>
      <c r="F22" s="26" t="s">
        <v>169</v>
      </c>
      <c r="G22" s="27" t="s">
        <v>159</v>
      </c>
      <c r="H22" s="29">
        <f>D22/2</f>
        <v>250</v>
      </c>
      <c r="I22" s="25">
        <f t="shared" ref="I22:I24" si="5">IF(D22&lt;=0,0,ROUNDUP(H22,0))</f>
        <v>250</v>
      </c>
      <c r="J22" s="29">
        <f>(I22*1)/2.5</f>
        <v>100</v>
      </c>
      <c r="K22" s="25">
        <f>ROUNDUP(J22,0)</f>
        <v>100</v>
      </c>
      <c r="L22" s="29">
        <f>(I22*1.5)/2.5</f>
        <v>150</v>
      </c>
      <c r="M22" s="25">
        <f>ROUNDUP(L22,0)</f>
        <v>150</v>
      </c>
      <c r="N22" s="36">
        <f>IF(D22&lt;=0,"N/A",PPE!D21)</f>
        <v>1</v>
      </c>
      <c r="O22" s="36">
        <f>IF(D22&lt;=0,"N/A",PPE!F21)</f>
        <v>2</v>
      </c>
      <c r="P22" s="36">
        <f>IF(D22&lt;=0,"N/A",PPE!D88)</f>
        <v>1</v>
      </c>
      <c r="Q22" s="37">
        <f>IF(D22&lt;=0,"N/A",PPE!D55)</f>
        <v>6</v>
      </c>
      <c r="R22" s="37">
        <f>IF(D22&lt;=0,"N/A",PPE!F88)</f>
        <v>2</v>
      </c>
      <c r="S22" s="16" t="s">
        <v>172</v>
      </c>
      <c r="T22" s="16" t="s">
        <v>173</v>
      </c>
      <c r="U22" s="33"/>
      <c r="V22" s="34"/>
    </row>
    <row r="23" spans="1:22" ht="17.25" thickTop="1" thickBot="1" x14ac:dyDescent="0.3">
      <c r="A23" s="21" t="s">
        <v>74</v>
      </c>
      <c r="B23" s="23" t="s">
        <v>158</v>
      </c>
      <c r="C23" s="24"/>
      <c r="D23" s="123">
        <v>600</v>
      </c>
      <c r="E23" s="25" t="s">
        <v>59</v>
      </c>
      <c r="F23" s="26" t="s">
        <v>170</v>
      </c>
      <c r="G23" s="27" t="s">
        <v>159</v>
      </c>
      <c r="H23" s="29">
        <f>D23/0.75</f>
        <v>800</v>
      </c>
      <c r="I23" s="25">
        <f t="shared" si="5"/>
        <v>800</v>
      </c>
      <c r="J23" s="29">
        <f>(I23*1)/2.5</f>
        <v>320</v>
      </c>
      <c r="K23" s="25">
        <f t="shared" ref="K23:K25" si="6">ROUNDUP(J23,0)</f>
        <v>320</v>
      </c>
      <c r="L23" s="29">
        <f t="shared" ref="L23:L25" si="7">(I23*1.5)/2.5</f>
        <v>480</v>
      </c>
      <c r="M23" s="25">
        <f t="shared" ref="M23:M25" si="8">ROUNDUP(L23,0)</f>
        <v>480</v>
      </c>
      <c r="N23" s="36">
        <f>IF(D23&lt;=0,"N/A",PPE!D27)</f>
        <v>4</v>
      </c>
      <c r="O23" s="36">
        <f>IF(D23&lt;=0,"N/A",PPE!F27)</f>
        <v>7</v>
      </c>
      <c r="P23" s="36">
        <f>IF(D23&lt;=0,"N/A",PPE!D93)</f>
        <v>4</v>
      </c>
      <c r="Q23" s="37">
        <f>IF(D23&lt;=0,"N/A",PPE!D61)</f>
        <v>16</v>
      </c>
      <c r="R23" s="37">
        <f>IF(D23&lt;=0,"N/A",PPE!F93)</f>
        <v>5</v>
      </c>
      <c r="S23" s="16" t="s">
        <v>172</v>
      </c>
      <c r="T23" s="16" t="s">
        <v>172</v>
      </c>
      <c r="U23" s="33"/>
      <c r="V23" s="34"/>
    </row>
    <row r="24" spans="1:22" ht="17.25" thickTop="1" thickBot="1" x14ac:dyDescent="0.3">
      <c r="A24" s="21" t="s">
        <v>75</v>
      </c>
      <c r="B24" s="23" t="s">
        <v>160</v>
      </c>
      <c r="C24" s="24"/>
      <c r="D24" s="123">
        <v>700</v>
      </c>
      <c r="E24" s="25" t="s">
        <v>59</v>
      </c>
      <c r="F24" s="26" t="s">
        <v>171</v>
      </c>
      <c r="G24" s="27" t="s">
        <v>159</v>
      </c>
      <c r="H24" s="29">
        <f>D24/0.5</f>
        <v>1400</v>
      </c>
      <c r="I24" s="25">
        <f t="shared" si="5"/>
        <v>1400</v>
      </c>
      <c r="J24" s="29">
        <f>(I24*1)/2.5</f>
        <v>560</v>
      </c>
      <c r="K24" s="25">
        <f t="shared" si="6"/>
        <v>560</v>
      </c>
      <c r="L24" s="29">
        <f t="shared" si="7"/>
        <v>840</v>
      </c>
      <c r="M24" s="25">
        <f t="shared" si="8"/>
        <v>840</v>
      </c>
      <c r="N24" s="36">
        <f>IF(D24&lt;=0,"N/A",PPE!D33)</f>
        <v>5</v>
      </c>
      <c r="O24" s="36">
        <f>IF(D24&lt;=0,"N/A",PPE!F33)</f>
        <v>12</v>
      </c>
      <c r="P24" s="36">
        <f>IF(D24&lt;=0,"N/A",PPE!D98)</f>
        <v>6</v>
      </c>
      <c r="Q24" s="37">
        <f>IF(D24&lt;=0,"N/A",PPE!D67)</f>
        <v>25</v>
      </c>
      <c r="R24" s="37">
        <f>IF(D24&lt;=0,"N/A",PPE!F98)</f>
        <v>9</v>
      </c>
      <c r="S24" s="16" t="s">
        <v>172</v>
      </c>
      <c r="T24" s="16" t="s">
        <v>172</v>
      </c>
      <c r="U24" s="33"/>
      <c r="V24" s="34"/>
    </row>
    <row r="25" spans="1:22" ht="17.25" thickTop="1" thickBot="1" x14ac:dyDescent="0.3">
      <c r="A25" s="21" t="s">
        <v>76</v>
      </c>
      <c r="B25" s="23" t="s">
        <v>161</v>
      </c>
      <c r="C25" s="24"/>
      <c r="D25" s="25" t="s">
        <v>59</v>
      </c>
      <c r="E25" s="123">
        <v>800</v>
      </c>
      <c r="F25" s="26" t="s">
        <v>162</v>
      </c>
      <c r="G25" s="27" t="s">
        <v>159</v>
      </c>
      <c r="H25" s="29">
        <f>E25</f>
        <v>800</v>
      </c>
      <c r="I25" s="25">
        <f>IF(E25&lt;=0,0,ROUNDUP(H25,0))</f>
        <v>800</v>
      </c>
      <c r="J25" s="29">
        <f>(I25*1)/2.5</f>
        <v>320</v>
      </c>
      <c r="K25" s="25">
        <f t="shared" si="6"/>
        <v>320</v>
      </c>
      <c r="L25" s="29">
        <f t="shared" si="7"/>
        <v>480</v>
      </c>
      <c r="M25" s="25">
        <f t="shared" si="8"/>
        <v>480</v>
      </c>
      <c r="N25" s="36">
        <f>IF(E25&lt;=0,"N/A",PPE!D39)</f>
        <v>4</v>
      </c>
      <c r="O25" s="36">
        <f>IF(E25&lt;=0,"N/A",PPE!F39)</f>
        <v>7</v>
      </c>
      <c r="P25" s="36">
        <f>IF(E25&lt;=0,"N/A",PPE!D103)</f>
        <v>4</v>
      </c>
      <c r="Q25" s="37">
        <f>IF(E25&lt;=0,"N/A",PPE!D73)</f>
        <v>16</v>
      </c>
      <c r="R25" s="37">
        <f>IF(E25&lt;=0,"N/A",PPE!F103)</f>
        <v>5</v>
      </c>
      <c r="S25" s="16" t="s">
        <v>172</v>
      </c>
      <c r="T25" s="16" t="s">
        <v>172</v>
      </c>
      <c r="U25" s="33"/>
      <c r="V25" s="34"/>
    </row>
    <row r="26" spans="1:22" ht="16.5" thickTop="1" x14ac:dyDescent="0.25">
      <c r="A26" s="13"/>
      <c r="B26" s="38"/>
      <c r="C26" s="25"/>
      <c r="D26" s="38"/>
      <c r="E26" s="38"/>
      <c r="F26" s="25"/>
      <c r="G26" s="38"/>
      <c r="H26" s="39"/>
      <c r="I26" s="38"/>
      <c r="J26" s="39"/>
      <c r="K26" s="38"/>
      <c r="L26" s="39"/>
      <c r="M26" s="38"/>
      <c r="N26" s="40"/>
      <c r="O26" s="40"/>
      <c r="P26" s="40"/>
      <c r="Q26" s="41"/>
      <c r="R26" s="41"/>
      <c r="S26" s="16"/>
      <c r="T26" s="16"/>
      <c r="U26" s="33"/>
      <c r="V26" s="34"/>
    </row>
    <row r="27" spans="1:22" x14ac:dyDescent="0.25">
      <c r="A27" s="13"/>
      <c r="B27" s="38"/>
      <c r="C27" s="25"/>
      <c r="D27" s="38"/>
      <c r="E27" s="38"/>
      <c r="F27" s="25"/>
      <c r="G27" s="38"/>
      <c r="H27" s="39"/>
      <c r="I27" s="38"/>
      <c r="J27" s="39"/>
      <c r="K27" s="38"/>
      <c r="L27" s="39"/>
      <c r="M27" s="38"/>
      <c r="N27" s="40"/>
      <c r="O27" s="40"/>
      <c r="P27" s="40"/>
      <c r="Q27" s="41"/>
      <c r="R27" s="41"/>
      <c r="S27" s="16"/>
      <c r="T27" s="16"/>
      <c r="U27" s="33"/>
      <c r="V27" s="34"/>
    </row>
    <row r="28" spans="1:22" x14ac:dyDescent="0.25">
      <c r="A28" s="13"/>
      <c r="B28" s="38"/>
      <c r="C28" s="25"/>
      <c r="D28" s="38"/>
      <c r="E28" s="38"/>
      <c r="F28" s="25"/>
      <c r="G28" s="38"/>
      <c r="H28" s="39"/>
      <c r="I28" s="38"/>
      <c r="J28" s="39"/>
      <c r="K28" s="38"/>
      <c r="L28" s="39"/>
      <c r="M28" s="38"/>
      <c r="N28" s="40"/>
      <c r="O28" s="40"/>
      <c r="P28" s="40"/>
      <c r="Q28" s="41"/>
      <c r="R28" s="41"/>
      <c r="S28" s="16"/>
      <c r="T28" s="16"/>
      <c r="U28" s="33"/>
      <c r="V28" s="34"/>
    </row>
    <row r="29" spans="1:22" ht="16.5" thickBot="1" x14ac:dyDescent="0.3">
      <c r="A29" s="19">
        <v>4</v>
      </c>
      <c r="B29" s="20" t="s">
        <v>156</v>
      </c>
      <c r="C29" s="25"/>
      <c r="D29" s="38"/>
      <c r="E29" s="38"/>
      <c r="F29" s="25"/>
      <c r="G29" s="38"/>
      <c r="H29" s="39"/>
      <c r="I29" s="38"/>
      <c r="J29" s="39"/>
      <c r="K29" s="38"/>
      <c r="L29" s="39"/>
      <c r="M29" s="38"/>
      <c r="N29" s="40"/>
      <c r="O29" s="40"/>
      <c r="P29" s="40"/>
      <c r="Q29" s="41"/>
      <c r="R29" s="41"/>
      <c r="S29" s="16"/>
      <c r="T29" s="16"/>
      <c r="U29" s="33"/>
      <c r="V29" s="34"/>
    </row>
    <row r="30" spans="1:22" ht="17.25" thickTop="1" thickBot="1" x14ac:dyDescent="0.3">
      <c r="A30" s="21" t="s">
        <v>218</v>
      </c>
      <c r="B30" s="23" t="s">
        <v>278</v>
      </c>
      <c r="C30" s="24"/>
      <c r="D30" s="123">
        <v>600</v>
      </c>
      <c r="E30" s="25" t="s">
        <v>59</v>
      </c>
      <c r="F30" s="26" t="s">
        <v>171</v>
      </c>
      <c r="G30" s="27" t="s">
        <v>63</v>
      </c>
      <c r="H30" s="29">
        <f>D30/0.5</f>
        <v>1200</v>
      </c>
      <c r="I30" s="25">
        <f t="shared" ref="I30" si="9">IF(D30&lt;=0,0,ROUNDUP(H30,0))</f>
        <v>1200</v>
      </c>
      <c r="J30" s="29">
        <f>I30/2</f>
        <v>600</v>
      </c>
      <c r="K30" s="25">
        <f>ROUNDUP(J30,0)</f>
        <v>600</v>
      </c>
      <c r="L30" s="29">
        <f>I30/2</f>
        <v>600</v>
      </c>
      <c r="M30" s="25">
        <f>ROUNDUP(L30,0)</f>
        <v>600</v>
      </c>
      <c r="N30" s="36">
        <f>IF(D30&lt;=0,"N/A",'Sports Stadia'!D16)</f>
        <v>6</v>
      </c>
      <c r="O30" s="36">
        <f>IF(D30&lt;=0,"N/A",'Sports Stadia'!F16)</f>
        <v>6</v>
      </c>
      <c r="P30" s="36">
        <f>IF(D30&lt;=0,"N/A",'Sports Stadia'!D53)</f>
        <v>6</v>
      </c>
      <c r="Q30" s="37">
        <f>IF(D30&lt;=0,"N/A",'Sports Stadia'!D33)</f>
        <v>12</v>
      </c>
      <c r="R30" s="37">
        <f>IF(D30&lt;=0,"N/A",'Sports Stadia'!F53)</f>
        <v>6</v>
      </c>
      <c r="S30" s="16" t="s">
        <v>59</v>
      </c>
      <c r="T30" s="16" t="s">
        <v>59</v>
      </c>
      <c r="U30" s="33"/>
      <c r="V30" s="34"/>
    </row>
    <row r="31" spans="1:22" ht="17.25" thickTop="1" thickBot="1" x14ac:dyDescent="0.3">
      <c r="A31" s="21" t="s">
        <v>219</v>
      </c>
      <c r="B31" s="23" t="s">
        <v>279</v>
      </c>
      <c r="C31" s="24"/>
      <c r="D31" s="25" t="s">
        <v>59</v>
      </c>
      <c r="E31" s="123">
        <v>900</v>
      </c>
      <c r="F31" s="26" t="s">
        <v>162</v>
      </c>
      <c r="G31" s="27" t="s">
        <v>63</v>
      </c>
      <c r="H31" s="29">
        <f>E31</f>
        <v>900</v>
      </c>
      <c r="I31" s="25">
        <f>IF(E31&lt;=0,0,ROUNDUP(H31,0))</f>
        <v>900</v>
      </c>
      <c r="J31" s="29">
        <f>I31/2</f>
        <v>450</v>
      </c>
      <c r="K31" s="25">
        <f>ROUNDUP(J31,0)</f>
        <v>450</v>
      </c>
      <c r="L31" s="29">
        <f>I31/2</f>
        <v>450</v>
      </c>
      <c r="M31" s="25">
        <f>ROUNDUP(L31,0)</f>
        <v>450</v>
      </c>
      <c r="N31" s="36">
        <f>IF(E31&lt;=0,"N/A",'Sports Stadia'!D21)</f>
        <v>5</v>
      </c>
      <c r="O31" s="36">
        <f>IF(E31&lt;=0,"N/A",'Sports Stadia'!F21)</f>
        <v>5</v>
      </c>
      <c r="P31" s="36">
        <f>IF(E31&lt;=0,"N/A",'Sports Stadia'!D58)</f>
        <v>5</v>
      </c>
      <c r="Q31" s="37">
        <f>IF(E31&lt;=0,"N/A",'Sports Stadia'!D38)</f>
        <v>9</v>
      </c>
      <c r="R31" s="37">
        <f>IF(E31&lt;=0,"N/A",'Sports Stadia'!F58)</f>
        <v>5</v>
      </c>
      <c r="S31" s="16" t="s">
        <v>59</v>
      </c>
      <c r="T31" s="16" t="s">
        <v>59</v>
      </c>
      <c r="U31" s="33"/>
      <c r="V31" s="34"/>
    </row>
    <row r="32" spans="1:22" ht="16.5" thickTop="1" x14ac:dyDescent="0.25">
      <c r="A32" s="13"/>
      <c r="B32" s="38"/>
      <c r="C32" s="25"/>
      <c r="D32" s="38"/>
      <c r="E32" s="38"/>
      <c r="F32" s="25"/>
      <c r="G32" s="38"/>
      <c r="H32" s="29"/>
      <c r="I32" s="38"/>
      <c r="J32" s="39"/>
      <c r="K32" s="38"/>
      <c r="L32" s="39"/>
      <c r="M32" s="38"/>
      <c r="N32" s="40"/>
      <c r="O32" s="40"/>
      <c r="P32" s="40"/>
      <c r="Q32" s="41"/>
      <c r="R32" s="41"/>
      <c r="S32" s="16"/>
      <c r="T32" s="16"/>
      <c r="U32" s="33"/>
      <c r="V32" s="34"/>
    </row>
    <row r="33" spans="1:22" x14ac:dyDescent="0.25">
      <c r="A33" s="13"/>
      <c r="B33" s="38"/>
      <c r="C33" s="25"/>
      <c r="D33" s="38"/>
      <c r="E33" s="38"/>
      <c r="F33" s="25"/>
      <c r="G33" s="38"/>
      <c r="H33" s="29"/>
      <c r="I33" s="38"/>
      <c r="J33" s="39"/>
      <c r="K33" s="38"/>
      <c r="L33" s="39"/>
      <c r="M33" s="38"/>
      <c r="N33" s="40"/>
      <c r="O33" s="40"/>
      <c r="P33" s="40"/>
      <c r="Q33" s="41"/>
      <c r="R33" s="41"/>
      <c r="S33" s="16"/>
      <c r="T33" s="16"/>
      <c r="U33" s="33"/>
      <c r="V33" s="34"/>
    </row>
    <row r="34" spans="1:22" ht="16.5" thickBot="1" x14ac:dyDescent="0.3">
      <c r="A34" s="13"/>
      <c r="B34" s="38"/>
      <c r="C34" s="25"/>
      <c r="D34" s="38"/>
      <c r="E34" s="38"/>
      <c r="F34" s="25"/>
      <c r="G34" s="38"/>
      <c r="H34" s="29"/>
      <c r="I34" s="38"/>
      <c r="J34" s="39"/>
      <c r="K34" s="38"/>
      <c r="L34" s="39"/>
      <c r="M34" s="38"/>
      <c r="N34" s="40"/>
      <c r="O34" s="40"/>
      <c r="P34" s="40"/>
      <c r="Q34" s="41"/>
      <c r="R34" s="41"/>
      <c r="S34" s="16"/>
      <c r="T34" s="16"/>
      <c r="U34" s="33"/>
      <c r="V34" s="34"/>
    </row>
    <row r="35" spans="1:22" ht="17.25" thickTop="1" thickBot="1" x14ac:dyDescent="0.3">
      <c r="A35" s="19">
        <v>5</v>
      </c>
      <c r="B35" s="20" t="s">
        <v>154</v>
      </c>
      <c r="C35" s="24"/>
      <c r="D35" s="25" t="s">
        <v>59</v>
      </c>
      <c r="E35" s="123">
        <v>5000</v>
      </c>
      <c r="F35" s="26" t="s">
        <v>162</v>
      </c>
      <c r="G35" s="27" t="s">
        <v>159</v>
      </c>
      <c r="H35" s="29">
        <f>E35</f>
        <v>5000</v>
      </c>
      <c r="I35" s="25">
        <f>IF(E35&lt;=0,0,ROUNDUP(H35,0))</f>
        <v>5000</v>
      </c>
      <c r="J35" s="29">
        <f>(I35*1)/2.5</f>
        <v>2000</v>
      </c>
      <c r="K35" s="25">
        <f>ROUNDUP(J35,0)</f>
        <v>2000</v>
      </c>
      <c r="L35" s="29">
        <f>(I35*1.5)/2.5</f>
        <v>3000</v>
      </c>
      <c r="M35" s="25">
        <f>ROUNDUP(L35,0)</f>
        <v>3000</v>
      </c>
      <c r="N35" s="36">
        <f>IF(E35&lt;=0,"N/A",Cinemas!D21)</f>
        <v>5</v>
      </c>
      <c r="O35" s="36">
        <f>IF(E35&lt;=0,"N/A",Cinemas!F21)</f>
        <v>20</v>
      </c>
      <c r="P35" s="36">
        <f>IF(E35&lt;=0,"N/A",Cinemas!D56)</f>
        <v>20</v>
      </c>
      <c r="Q35" s="37">
        <f>IF(E35&lt;=0,"N/A",Cinemas!D41)</f>
        <v>33</v>
      </c>
      <c r="R35" s="37">
        <f>IF(E35&lt;=0,"N/A",Cinemas!F56)</f>
        <v>30</v>
      </c>
      <c r="S35" s="16" t="s">
        <v>59</v>
      </c>
      <c r="T35" s="16" t="s">
        <v>59</v>
      </c>
      <c r="U35" s="33"/>
      <c r="V35" s="34"/>
    </row>
    <row r="36" spans="1:22" ht="16.5" thickTop="1" x14ac:dyDescent="0.25">
      <c r="A36" s="13"/>
      <c r="B36" s="38"/>
      <c r="C36" s="25"/>
      <c r="D36" s="38"/>
      <c r="E36" s="38"/>
      <c r="F36" s="25"/>
      <c r="G36" s="38"/>
      <c r="H36" s="29"/>
      <c r="I36" s="38"/>
      <c r="J36" s="39"/>
      <c r="K36" s="38"/>
      <c r="L36" s="39"/>
      <c r="M36" s="38"/>
      <c r="N36" s="40"/>
      <c r="O36" s="40"/>
      <c r="P36" s="40"/>
      <c r="Q36" s="41"/>
      <c r="R36" s="41"/>
      <c r="S36" s="16"/>
      <c r="T36" s="16"/>
      <c r="U36" s="33"/>
      <c r="V36" s="34"/>
    </row>
    <row r="37" spans="1:22" x14ac:dyDescent="0.25">
      <c r="A37" s="13"/>
      <c r="B37" s="38"/>
      <c r="C37" s="25"/>
      <c r="D37" s="38"/>
      <c r="E37" s="38"/>
      <c r="F37" s="25"/>
      <c r="G37" s="38"/>
      <c r="H37" s="29"/>
      <c r="I37" s="38"/>
      <c r="J37" s="39"/>
      <c r="K37" s="38"/>
      <c r="L37" s="39"/>
      <c r="M37" s="38"/>
      <c r="N37" s="40"/>
      <c r="O37" s="40"/>
      <c r="P37" s="40"/>
      <c r="Q37" s="41"/>
      <c r="R37" s="41"/>
      <c r="S37" s="16"/>
      <c r="T37" s="16"/>
      <c r="U37" s="33"/>
      <c r="V37" s="34"/>
    </row>
    <row r="38" spans="1:22" x14ac:dyDescent="0.25">
      <c r="A38" s="13"/>
      <c r="B38" s="38"/>
      <c r="C38" s="25"/>
      <c r="D38" s="38"/>
      <c r="E38" s="38"/>
      <c r="F38" s="25"/>
      <c r="G38" s="38"/>
      <c r="H38" s="29"/>
      <c r="I38" s="38"/>
      <c r="J38" s="39"/>
      <c r="K38" s="38"/>
      <c r="L38" s="39"/>
      <c r="M38" s="38"/>
      <c r="N38" s="40"/>
      <c r="O38" s="40"/>
      <c r="P38" s="40"/>
      <c r="Q38" s="41"/>
      <c r="R38" s="41"/>
      <c r="S38" s="16"/>
      <c r="T38" s="16"/>
      <c r="U38" s="33"/>
      <c r="V38" s="34"/>
    </row>
    <row r="39" spans="1:22" ht="16.5" thickBot="1" x14ac:dyDescent="0.3">
      <c r="A39" s="19">
        <v>6</v>
      </c>
      <c r="B39" s="20" t="s">
        <v>155</v>
      </c>
      <c r="C39" s="25"/>
      <c r="D39" s="38"/>
      <c r="E39" s="38"/>
      <c r="F39" s="25"/>
      <c r="G39" s="38"/>
      <c r="H39" s="29"/>
      <c r="I39" s="38"/>
      <c r="J39" s="39"/>
      <c r="K39" s="38"/>
      <c r="L39" s="39"/>
      <c r="M39" s="38"/>
      <c r="N39" s="40"/>
      <c r="O39" s="40"/>
      <c r="P39" s="40"/>
      <c r="Q39" s="41"/>
      <c r="R39" s="41"/>
      <c r="S39" s="16"/>
      <c r="T39" s="16"/>
      <c r="U39" s="33"/>
      <c r="V39" s="34"/>
    </row>
    <row r="40" spans="1:22" ht="17.25" thickTop="1" thickBot="1" x14ac:dyDescent="0.3">
      <c r="A40" s="21" t="s">
        <v>218</v>
      </c>
      <c r="B40" s="23" t="s">
        <v>280</v>
      </c>
      <c r="C40" s="24"/>
      <c r="D40" s="123">
        <v>1000</v>
      </c>
      <c r="E40" s="25" t="s">
        <v>59</v>
      </c>
      <c r="F40" s="26" t="s">
        <v>163</v>
      </c>
      <c r="G40" s="27" t="s">
        <v>159</v>
      </c>
      <c r="H40" s="29">
        <f>D40/3</f>
        <v>333.33333333333331</v>
      </c>
      <c r="I40" s="25">
        <f t="shared" ref="I40:I41" si="10">IF(D40&lt;=0,0,ROUNDUP(H40,0))</f>
        <v>334</v>
      </c>
      <c r="J40" s="29">
        <f>(I40*1)/2.5</f>
        <v>133.6</v>
      </c>
      <c r="K40" s="25">
        <f>ROUNDUP(J40,0)</f>
        <v>134</v>
      </c>
      <c r="L40" s="29">
        <f>(I40*1.5)/2.5</f>
        <v>200.4</v>
      </c>
      <c r="M40" s="25">
        <f>ROUNDUP(L40,0)</f>
        <v>201</v>
      </c>
      <c r="N40" s="36">
        <f>IF(D40&lt;=0,"N/A",Arcades!D18)</f>
        <v>2</v>
      </c>
      <c r="O40" s="36">
        <f>IF(D40&lt;=0,"N/A",Arcades!F18)</f>
        <v>1</v>
      </c>
      <c r="P40" s="36">
        <f>IF(D40&lt;=0,"N/A",Arcades!D75)</f>
        <v>2</v>
      </c>
      <c r="Q40" s="37">
        <f>IF(D40&lt;=0,"N/A",Arcades!D44)</f>
        <v>4</v>
      </c>
      <c r="R40" s="37">
        <f>IF(D30&lt;=0,"N/A",Arcades!F75)</f>
        <v>2</v>
      </c>
      <c r="S40" s="16" t="s">
        <v>59</v>
      </c>
      <c r="T40" s="16" t="s">
        <v>59</v>
      </c>
      <c r="U40" s="33"/>
      <c r="V40" s="34"/>
    </row>
    <row r="41" spans="1:22" ht="17.25" thickTop="1" thickBot="1" x14ac:dyDescent="0.3">
      <c r="A41" s="21" t="s">
        <v>219</v>
      </c>
      <c r="B41" s="23" t="s">
        <v>281</v>
      </c>
      <c r="C41" s="24"/>
      <c r="D41" s="123">
        <v>5000</v>
      </c>
      <c r="E41" s="25" t="s">
        <v>59</v>
      </c>
      <c r="F41" s="26" t="s">
        <v>165</v>
      </c>
      <c r="G41" s="27" t="s">
        <v>159</v>
      </c>
      <c r="H41" s="29">
        <f>D41/4.5</f>
        <v>1111.1111111111111</v>
      </c>
      <c r="I41" s="25">
        <f t="shared" si="10"/>
        <v>1112</v>
      </c>
      <c r="J41" s="29">
        <f>(I41*1)/2.5</f>
        <v>444.8</v>
      </c>
      <c r="K41" s="25">
        <f>ROUNDUP(J41,0)</f>
        <v>445</v>
      </c>
      <c r="L41" s="29">
        <f>(I41*1.5)/2.5</f>
        <v>667.2</v>
      </c>
      <c r="M41" s="25">
        <f>ROUNDUP(L41,0)</f>
        <v>668</v>
      </c>
      <c r="N41" s="36">
        <f>IF(D41&lt;=0,"N/A",Arcades!D24)</f>
        <v>4</v>
      </c>
      <c r="O41" s="36">
        <f>IF(D41&lt;=0,"N/A",Arcades!F24)</f>
        <v>2</v>
      </c>
      <c r="P41" s="36">
        <f>IF(D41&lt;=0,"N/A",Arcades!D81)</f>
        <v>4</v>
      </c>
      <c r="Q41" s="37">
        <f>IF(D41&lt;=0,"N/A",Arcades!D52)</f>
        <v>10</v>
      </c>
      <c r="R41" s="37">
        <f>IF(D41&lt;=0,"N/A",Arcades!F81)</f>
        <v>5</v>
      </c>
      <c r="S41" s="16" t="s">
        <v>59</v>
      </c>
      <c r="T41" s="16" t="s">
        <v>59</v>
      </c>
      <c r="U41" s="33"/>
      <c r="V41" s="34"/>
    </row>
    <row r="42" spans="1:22" ht="16.5" thickTop="1" x14ac:dyDescent="0.25">
      <c r="A42" s="13"/>
      <c r="B42" s="38"/>
      <c r="C42" s="25"/>
      <c r="D42" s="38"/>
      <c r="E42" s="38"/>
      <c r="F42" s="25"/>
      <c r="G42" s="38"/>
      <c r="H42" s="29"/>
      <c r="I42" s="38"/>
      <c r="J42" s="39"/>
      <c r="K42" s="38"/>
      <c r="L42" s="39"/>
      <c r="M42" s="38"/>
      <c r="N42" s="40"/>
      <c r="O42" s="40"/>
      <c r="P42" s="40"/>
      <c r="Q42" s="41"/>
      <c r="R42" s="41"/>
      <c r="S42" s="16"/>
      <c r="T42" s="16"/>
      <c r="U42" s="33"/>
      <c r="V42" s="34"/>
    </row>
    <row r="43" spans="1:22" x14ac:dyDescent="0.25">
      <c r="A43" s="13"/>
      <c r="B43" s="38"/>
      <c r="C43" s="25"/>
      <c r="D43" s="38"/>
      <c r="E43" s="38"/>
      <c r="F43" s="25"/>
      <c r="G43" s="38"/>
      <c r="H43" s="29"/>
      <c r="I43" s="38"/>
      <c r="J43" s="39"/>
      <c r="K43" s="38"/>
      <c r="L43" s="39"/>
      <c r="M43" s="38"/>
      <c r="N43" s="40"/>
      <c r="O43" s="40"/>
      <c r="P43" s="40"/>
      <c r="Q43" s="41"/>
      <c r="R43" s="41"/>
      <c r="S43" s="16"/>
      <c r="T43" s="16"/>
      <c r="U43" s="33"/>
      <c r="V43" s="34"/>
    </row>
    <row r="44" spans="1:22" ht="16.5" thickBot="1" x14ac:dyDescent="0.3">
      <c r="A44" s="13"/>
      <c r="B44" s="38"/>
      <c r="C44" s="25"/>
      <c r="D44" s="38"/>
      <c r="E44" s="38"/>
      <c r="F44" s="25"/>
      <c r="G44" s="38"/>
      <c r="H44" s="29"/>
      <c r="I44" s="38"/>
      <c r="J44" s="39"/>
      <c r="K44" s="38"/>
      <c r="L44" s="39"/>
      <c r="M44" s="38"/>
      <c r="N44" s="40"/>
      <c r="O44" s="40"/>
      <c r="P44" s="40"/>
      <c r="Q44" s="41"/>
      <c r="R44" s="41"/>
      <c r="S44" s="16"/>
      <c r="T44" s="16"/>
      <c r="U44" s="33"/>
      <c r="V44" s="34"/>
    </row>
    <row r="45" spans="1:22" ht="17.25" thickTop="1" thickBot="1" x14ac:dyDescent="0.3">
      <c r="A45" s="19">
        <v>7</v>
      </c>
      <c r="B45" s="20" t="s">
        <v>334</v>
      </c>
      <c r="C45" s="24"/>
      <c r="D45" s="123">
        <v>7000</v>
      </c>
      <c r="E45" s="25" t="s">
        <v>59</v>
      </c>
      <c r="F45" s="26" t="s">
        <v>171</v>
      </c>
      <c r="G45" s="27" t="s">
        <v>159</v>
      </c>
      <c r="H45" s="29">
        <f>D45/0.5</f>
        <v>14000</v>
      </c>
      <c r="I45" s="25">
        <f t="shared" ref="I45" si="11">IF(D45&lt;=0,0,ROUNDUP(H45,0))</f>
        <v>14000</v>
      </c>
      <c r="J45" s="29">
        <f>(I45*1)/2.5</f>
        <v>5600</v>
      </c>
      <c r="K45" s="25">
        <f>ROUNDUP(J45,0)</f>
        <v>5600</v>
      </c>
      <c r="L45" s="29">
        <f>(I45*1.5)/2.5</f>
        <v>8400</v>
      </c>
      <c r="M45" s="25">
        <f>ROUNDUP(L45,0)</f>
        <v>8400</v>
      </c>
      <c r="N45" s="36">
        <f>IF(D45&lt;=0,"N/A",'Religious Institution'!D15)</f>
        <v>56</v>
      </c>
      <c r="O45" s="36">
        <f>IF(D45&lt;=0,"N/A",'Religious Institution'!F15)</f>
        <v>56</v>
      </c>
      <c r="P45" s="36">
        <f>IF(D45&lt;=0,"N/A",'Religious Institution'!D42)</f>
        <v>56</v>
      </c>
      <c r="Q45" s="37">
        <f>IF(D45&lt;=0,"N/A",'Religious Institution'!D27)</f>
        <v>168</v>
      </c>
      <c r="R45" s="37">
        <f>IF(D45&lt;=0,"N/A",'Religious Institution'!F42)</f>
        <v>84</v>
      </c>
      <c r="S45" s="16" t="s">
        <v>59</v>
      </c>
      <c r="T45" s="16" t="s">
        <v>59</v>
      </c>
      <c r="U45" s="33"/>
      <c r="V45" s="34"/>
    </row>
    <row r="46" spans="1:22" ht="16.5" thickTop="1" x14ac:dyDescent="0.25">
      <c r="A46" s="13"/>
      <c r="B46" s="38"/>
      <c r="C46" s="25"/>
      <c r="D46" s="38"/>
      <c r="E46" s="38"/>
      <c r="F46" s="25"/>
      <c r="G46" s="38"/>
      <c r="H46" s="29"/>
      <c r="I46" s="38"/>
      <c r="J46" s="39"/>
      <c r="K46" s="38"/>
      <c r="L46" s="39"/>
      <c r="M46" s="38"/>
      <c r="N46" s="40"/>
      <c r="O46" s="40"/>
      <c r="P46" s="40"/>
      <c r="Q46" s="41"/>
      <c r="R46" s="41"/>
      <c r="S46" s="16"/>
      <c r="T46" s="16"/>
      <c r="U46" s="33"/>
      <c r="V46" s="34"/>
    </row>
    <row r="47" spans="1:22" x14ac:dyDescent="0.25">
      <c r="A47" s="13"/>
      <c r="B47" s="38"/>
      <c r="C47" s="25"/>
      <c r="D47" s="38"/>
      <c r="E47" s="38"/>
      <c r="F47" s="25"/>
      <c r="G47" s="38"/>
      <c r="H47" s="29"/>
      <c r="I47" s="38"/>
      <c r="J47" s="39"/>
      <c r="K47" s="38"/>
      <c r="L47" s="39"/>
      <c r="M47" s="38"/>
      <c r="N47" s="40"/>
      <c r="O47" s="40"/>
      <c r="P47" s="40"/>
      <c r="Q47" s="41"/>
      <c r="R47" s="41"/>
      <c r="S47" s="16"/>
      <c r="T47" s="16"/>
      <c r="U47" s="33"/>
      <c r="V47" s="34"/>
    </row>
    <row r="48" spans="1:22" ht="16.5" thickBot="1" x14ac:dyDescent="0.3">
      <c r="A48" s="13"/>
      <c r="B48" s="38"/>
      <c r="C48" s="25"/>
      <c r="D48" s="38"/>
      <c r="E48" s="38"/>
      <c r="F48" s="25"/>
      <c r="G48" s="38"/>
      <c r="H48" s="29"/>
      <c r="I48" s="38"/>
      <c r="J48" s="39"/>
      <c r="K48" s="38"/>
      <c r="L48" s="39"/>
      <c r="M48" s="38"/>
      <c r="N48" s="40"/>
      <c r="O48" s="40"/>
      <c r="P48" s="40"/>
      <c r="Q48" s="41"/>
      <c r="R48" s="41"/>
      <c r="S48" s="16"/>
      <c r="T48" s="16"/>
      <c r="U48" s="33"/>
      <c r="V48" s="34"/>
    </row>
    <row r="49" spans="1:22" ht="17.25" thickTop="1" thickBot="1" x14ac:dyDescent="0.3">
      <c r="A49" s="19">
        <v>8</v>
      </c>
      <c r="B49" s="20" t="s">
        <v>351</v>
      </c>
      <c r="C49" s="24"/>
      <c r="D49" s="123">
        <v>2000</v>
      </c>
      <c r="E49" s="25" t="s">
        <v>59</v>
      </c>
      <c r="F49" s="26" t="s">
        <v>171</v>
      </c>
      <c r="G49" s="27" t="s">
        <v>159</v>
      </c>
      <c r="H49" s="29">
        <f>D49/0.5</f>
        <v>4000</v>
      </c>
      <c r="I49" s="25">
        <f t="shared" ref="I49" si="12">IF(D49&lt;=0,0,ROUNDUP(H49,0))</f>
        <v>4000</v>
      </c>
      <c r="J49" s="29">
        <f>(I49*1)/2.5</f>
        <v>1600</v>
      </c>
      <c r="K49" s="25">
        <f>ROUNDUP(J49,0)</f>
        <v>1600</v>
      </c>
      <c r="L49" s="29">
        <f>(I49*1.5)/2.5</f>
        <v>2400</v>
      </c>
      <c r="M49" s="25">
        <f>ROUNDUP(L49,0)</f>
        <v>2400</v>
      </c>
      <c r="N49" s="36">
        <f>IF(D49&lt;=0,"N/A",'Funeral Parlours'!D15)</f>
        <v>11</v>
      </c>
      <c r="O49" s="36">
        <f>IF(D49&lt;=0,"N/A",'Funeral Parlours'!F15)</f>
        <v>11</v>
      </c>
      <c r="P49" s="36">
        <f>IF(D49&lt;=0,"N/A",'Funeral Parlours'!D42)</f>
        <v>6</v>
      </c>
      <c r="Q49" s="37">
        <f>IF(D49&lt;=0,"N/A",'Funeral Parlours'!D27)</f>
        <v>32</v>
      </c>
      <c r="R49" s="37">
        <f>IF(D40&lt;=9,"N/A",'Funeral Parlours'!F42)</f>
        <v>8</v>
      </c>
      <c r="S49" s="16" t="s">
        <v>59</v>
      </c>
      <c r="T49" s="16" t="s">
        <v>59</v>
      </c>
      <c r="U49" s="33"/>
      <c r="V49" s="34"/>
    </row>
    <row r="50" spans="1:22" ht="16.5" thickTop="1" x14ac:dyDescent="0.25">
      <c r="A50" s="13"/>
      <c r="B50" s="38"/>
      <c r="C50" s="25"/>
      <c r="D50" s="38"/>
      <c r="E50" s="38"/>
      <c r="F50" s="25"/>
      <c r="G50" s="38"/>
      <c r="H50" s="29"/>
      <c r="I50" s="38"/>
      <c r="J50" s="39"/>
      <c r="K50" s="38"/>
      <c r="L50" s="39"/>
      <c r="M50" s="38"/>
      <c r="N50" s="40"/>
      <c r="O50" s="40"/>
      <c r="P50" s="40"/>
      <c r="Q50" s="41"/>
      <c r="R50" s="41"/>
      <c r="S50" s="16"/>
      <c r="T50" s="16"/>
      <c r="U50" s="33"/>
      <c r="V50" s="34"/>
    </row>
    <row r="51" spans="1:22" x14ac:dyDescent="0.25">
      <c r="A51" s="13"/>
      <c r="B51" s="38"/>
      <c r="C51" s="25"/>
      <c r="D51" s="38"/>
      <c r="E51" s="38"/>
      <c r="F51" s="25"/>
      <c r="G51" s="38"/>
      <c r="H51" s="29"/>
      <c r="I51" s="38"/>
      <c r="J51" s="39"/>
      <c r="K51" s="38"/>
      <c r="L51" s="39"/>
      <c r="M51" s="38"/>
      <c r="N51" s="40"/>
      <c r="O51" s="40"/>
      <c r="P51" s="40"/>
      <c r="Q51" s="41"/>
      <c r="R51" s="41"/>
      <c r="S51" s="16"/>
      <c r="T51" s="16"/>
      <c r="U51" s="33"/>
      <c r="V51" s="34"/>
    </row>
    <row r="52" spans="1:22" ht="16.5" thickBot="1" x14ac:dyDescent="0.3">
      <c r="A52" s="13"/>
      <c r="B52" s="38"/>
      <c r="C52" s="25"/>
      <c r="D52" s="38"/>
      <c r="E52" s="38"/>
      <c r="F52" s="25"/>
      <c r="G52" s="38"/>
      <c r="H52" s="29"/>
      <c r="I52" s="38"/>
      <c r="J52" s="39"/>
      <c r="K52" s="38"/>
      <c r="L52" s="39"/>
      <c r="M52" s="38"/>
      <c r="N52" s="40"/>
      <c r="O52" s="40"/>
      <c r="P52" s="40"/>
      <c r="Q52" s="41"/>
      <c r="R52" s="41"/>
      <c r="S52" s="16"/>
      <c r="T52" s="16"/>
      <c r="U52" s="33"/>
      <c r="V52" s="34"/>
    </row>
    <row r="53" spans="1:22" ht="17.25" thickTop="1" thickBot="1" x14ac:dyDescent="0.3">
      <c r="A53" s="19">
        <v>9</v>
      </c>
      <c r="B53" s="20" t="s">
        <v>443</v>
      </c>
      <c r="C53" s="24"/>
      <c r="D53" s="123">
        <v>8000</v>
      </c>
      <c r="E53" s="25" t="s">
        <v>59</v>
      </c>
      <c r="F53" s="26" t="s">
        <v>365</v>
      </c>
      <c r="G53" s="27" t="s">
        <v>159</v>
      </c>
      <c r="H53" s="29">
        <f>D53/1.5</f>
        <v>5333.333333333333</v>
      </c>
      <c r="I53" s="25">
        <f t="shared" ref="I53" si="13">IF(D53&lt;=0,0,ROUNDUP(H53,0))</f>
        <v>5334</v>
      </c>
      <c r="J53" s="29">
        <f>(I53*1)/2.5</f>
        <v>2133.6</v>
      </c>
      <c r="K53" s="25">
        <f>ROUNDUP(J53,0)</f>
        <v>2134</v>
      </c>
      <c r="L53" s="29">
        <f>(I53*1.5)/2.5</f>
        <v>3200.4</v>
      </c>
      <c r="M53" s="25">
        <f>ROUNDUP(L53,0)</f>
        <v>3201</v>
      </c>
      <c r="N53" s="36">
        <f>IF(I53&lt;25,"N/A",Restaurants!D35)</f>
        <v>11</v>
      </c>
      <c r="O53" s="36">
        <f>IF(I53&lt;25,IF(D53&lt;=0,"N/A",Restaurants!E8),Restaurants!F35)</f>
        <v>43</v>
      </c>
      <c r="P53" s="36">
        <f>IF(I53&lt;25,"N/A",Restaurants!D87)</f>
        <v>23</v>
      </c>
      <c r="Q53" s="37">
        <f>IF(I53&lt;25,"N/A",Restaurants!D57)</f>
        <v>35</v>
      </c>
      <c r="R53" s="37">
        <f>IF(I53&lt;25,"N/A",Restaurants!D95)</f>
        <v>34</v>
      </c>
      <c r="S53" s="16" t="str">
        <f>IF(I53&lt;25,IF(D53&lt;=0,"N/A",Restaurants!C8),"N/A")</f>
        <v>N/A</v>
      </c>
      <c r="T53" s="16" t="str">
        <f>IF(I53&lt;25,IF(D53&lt;=0,"N/A",Restaurants!D8),"N/A")</f>
        <v>N/A</v>
      </c>
      <c r="U53" s="33"/>
      <c r="V53" s="34"/>
    </row>
    <row r="54" spans="1:22" ht="17.25" thickTop="1" thickBot="1" x14ac:dyDescent="0.3">
      <c r="A54" s="42"/>
      <c r="B54" s="43"/>
      <c r="C54" s="44"/>
      <c r="D54" s="43"/>
      <c r="E54" s="43"/>
      <c r="F54" s="44"/>
      <c r="G54" s="43"/>
      <c r="H54" s="45"/>
      <c r="I54" s="43"/>
      <c r="J54" s="46"/>
      <c r="K54" s="43"/>
      <c r="L54" s="46"/>
      <c r="M54" s="43"/>
      <c r="N54" s="47"/>
      <c r="O54" s="47"/>
      <c r="P54" s="47"/>
      <c r="Q54" s="48"/>
      <c r="R54" s="48"/>
      <c r="S54" s="49"/>
      <c r="T54" s="49"/>
      <c r="U54" s="50"/>
      <c r="V54" s="51"/>
    </row>
    <row r="55" spans="1:22" s="53" customFormat="1" ht="16.5" thickTop="1" x14ac:dyDescent="0.25">
      <c r="A55" s="52"/>
      <c r="C55" s="54"/>
      <c r="F55" s="54"/>
      <c r="H55" s="54"/>
      <c r="S55" s="54"/>
      <c r="T55" s="54"/>
      <c r="U55" s="54"/>
      <c r="V55" s="54"/>
    </row>
    <row r="56" spans="1:22" s="53" customFormat="1" x14ac:dyDescent="0.25">
      <c r="A56" s="52"/>
      <c r="C56" s="54"/>
      <c r="F56" s="54"/>
      <c r="H56" s="54"/>
      <c r="S56" s="54"/>
      <c r="T56" s="54"/>
      <c r="U56" s="54"/>
      <c r="V56" s="54"/>
    </row>
    <row r="57" spans="1:22" s="53" customFormat="1" x14ac:dyDescent="0.25">
      <c r="A57" s="52"/>
      <c r="C57" s="54"/>
      <c r="F57" s="54"/>
      <c r="H57" s="54"/>
      <c r="S57" s="54"/>
      <c r="T57" s="54"/>
      <c r="U57" s="54"/>
      <c r="V57" s="54"/>
    </row>
    <row r="58" spans="1:22" s="53" customFormat="1" x14ac:dyDescent="0.25">
      <c r="A58" s="52"/>
      <c r="C58" s="54"/>
      <c r="F58" s="54"/>
      <c r="H58" s="54"/>
      <c r="S58" s="54"/>
      <c r="T58" s="54"/>
      <c r="U58" s="54"/>
      <c r="V58" s="54"/>
    </row>
    <row r="59" spans="1:22" s="53" customFormat="1" x14ac:dyDescent="0.25">
      <c r="A59" s="52"/>
      <c r="C59" s="54"/>
      <c r="F59" s="54"/>
      <c r="H59" s="54"/>
      <c r="S59" s="54"/>
      <c r="T59" s="54"/>
      <c r="U59" s="54"/>
      <c r="V59" s="54"/>
    </row>
    <row r="60" spans="1:22" s="53" customFormat="1" x14ac:dyDescent="0.25">
      <c r="A60" s="52"/>
      <c r="C60" s="54"/>
      <c r="F60" s="54"/>
      <c r="H60" s="54"/>
      <c r="S60" s="54"/>
      <c r="T60" s="54"/>
      <c r="U60" s="54"/>
      <c r="V60" s="54"/>
    </row>
    <row r="61" spans="1:22" s="53" customFormat="1" x14ac:dyDescent="0.25">
      <c r="A61" s="52"/>
      <c r="C61" s="54"/>
      <c r="F61" s="54"/>
      <c r="H61" s="54"/>
      <c r="S61" s="54"/>
      <c r="T61" s="54"/>
      <c r="U61" s="54"/>
      <c r="V61" s="54"/>
    </row>
    <row r="62" spans="1:22" s="53" customFormat="1" x14ac:dyDescent="0.25">
      <c r="A62" s="52"/>
      <c r="C62" s="54"/>
      <c r="F62" s="54"/>
      <c r="H62" s="54"/>
      <c r="S62" s="54"/>
      <c r="T62" s="54"/>
      <c r="U62" s="54"/>
      <c r="V62" s="54"/>
    </row>
    <row r="63" spans="1:22" s="53" customFormat="1" x14ac:dyDescent="0.25">
      <c r="A63" s="52"/>
      <c r="C63" s="54"/>
      <c r="F63" s="54"/>
      <c r="H63" s="54"/>
      <c r="S63" s="54"/>
      <c r="T63" s="54"/>
      <c r="U63" s="54"/>
      <c r="V63" s="54"/>
    </row>
    <row r="64" spans="1:22" s="53" customFormat="1" x14ac:dyDescent="0.25">
      <c r="A64" s="52"/>
      <c r="C64" s="54"/>
      <c r="F64" s="54"/>
      <c r="H64" s="54"/>
      <c r="S64" s="54"/>
      <c r="T64" s="54"/>
      <c r="U64" s="54"/>
      <c r="V64" s="54"/>
    </row>
    <row r="65" spans="1:22" s="53" customFormat="1" x14ac:dyDescent="0.25">
      <c r="A65" s="52"/>
      <c r="C65" s="54"/>
      <c r="F65" s="54"/>
      <c r="H65" s="54"/>
      <c r="S65" s="54"/>
      <c r="T65" s="54"/>
      <c r="U65" s="54"/>
      <c r="V65" s="54"/>
    </row>
    <row r="66" spans="1:22" s="53" customFormat="1" x14ac:dyDescent="0.25">
      <c r="A66" s="52"/>
      <c r="C66" s="54"/>
      <c r="F66" s="54"/>
      <c r="H66" s="54"/>
      <c r="S66" s="54"/>
      <c r="T66" s="54"/>
      <c r="U66" s="54"/>
      <c r="V66" s="54"/>
    </row>
    <row r="67" spans="1:22" s="53" customFormat="1" x14ac:dyDescent="0.25">
      <c r="A67" s="52"/>
      <c r="C67" s="54"/>
      <c r="F67" s="54"/>
      <c r="H67" s="54"/>
      <c r="S67" s="54"/>
      <c r="T67" s="54"/>
      <c r="U67" s="54"/>
      <c r="V67" s="54"/>
    </row>
    <row r="68" spans="1:22" s="53" customFormat="1" x14ac:dyDescent="0.25">
      <c r="A68" s="52"/>
      <c r="C68" s="54"/>
      <c r="F68" s="54"/>
      <c r="H68" s="54"/>
      <c r="S68" s="54"/>
      <c r="T68" s="54"/>
      <c r="U68" s="54"/>
      <c r="V68" s="54"/>
    </row>
    <row r="69" spans="1:22" s="53" customFormat="1" x14ac:dyDescent="0.25">
      <c r="A69" s="52"/>
      <c r="C69" s="54"/>
      <c r="F69" s="54"/>
      <c r="H69" s="54"/>
      <c r="S69" s="54"/>
      <c r="T69" s="54"/>
      <c r="U69" s="54"/>
      <c r="V69" s="54"/>
    </row>
    <row r="70" spans="1:22" s="53" customFormat="1" x14ac:dyDescent="0.25">
      <c r="A70" s="52"/>
      <c r="C70" s="54"/>
      <c r="F70" s="54"/>
      <c r="H70" s="54"/>
      <c r="S70" s="54"/>
      <c r="T70" s="54"/>
      <c r="U70" s="54"/>
      <c r="V70" s="54"/>
    </row>
    <row r="71" spans="1:22" s="53" customFormat="1" x14ac:dyDescent="0.25">
      <c r="A71" s="52"/>
      <c r="C71" s="54"/>
      <c r="F71" s="54"/>
      <c r="H71" s="54"/>
      <c r="S71" s="54"/>
      <c r="T71" s="54"/>
      <c r="U71" s="54"/>
      <c r="V71" s="54"/>
    </row>
    <row r="72" spans="1:22" s="53" customFormat="1" x14ac:dyDescent="0.25">
      <c r="A72" s="52"/>
      <c r="C72" s="54"/>
      <c r="F72" s="54"/>
      <c r="H72" s="54"/>
      <c r="S72" s="54"/>
      <c r="T72" s="54"/>
      <c r="U72" s="54"/>
      <c r="V72" s="54"/>
    </row>
    <row r="73" spans="1:22" s="53" customFormat="1" x14ac:dyDescent="0.25">
      <c r="A73" s="52"/>
      <c r="C73" s="54"/>
      <c r="F73" s="54"/>
      <c r="H73" s="54"/>
      <c r="S73" s="54"/>
      <c r="T73" s="54"/>
      <c r="U73" s="54"/>
      <c r="V73" s="54"/>
    </row>
    <row r="74" spans="1:22" s="53" customFormat="1" x14ac:dyDescent="0.25">
      <c r="A74" s="52"/>
      <c r="C74" s="54"/>
      <c r="F74" s="54"/>
      <c r="H74" s="54"/>
      <c r="S74" s="54"/>
      <c r="T74" s="54"/>
      <c r="U74" s="54"/>
      <c r="V74" s="54"/>
    </row>
    <row r="75" spans="1:22" s="53" customFormat="1" x14ac:dyDescent="0.25">
      <c r="A75" s="52"/>
      <c r="C75" s="54"/>
      <c r="F75" s="54"/>
      <c r="H75" s="54"/>
      <c r="S75" s="54"/>
      <c r="T75" s="54"/>
      <c r="U75" s="54"/>
      <c r="V75" s="54"/>
    </row>
    <row r="76" spans="1:22" s="53" customFormat="1" x14ac:dyDescent="0.25">
      <c r="A76" s="52"/>
      <c r="C76" s="54"/>
      <c r="F76" s="54"/>
      <c r="H76" s="54"/>
      <c r="S76" s="54"/>
      <c r="T76" s="54"/>
      <c r="U76" s="54"/>
      <c r="V76" s="54"/>
    </row>
    <row r="77" spans="1:22" s="53" customFormat="1" x14ac:dyDescent="0.25">
      <c r="A77" s="52"/>
      <c r="C77" s="54"/>
      <c r="F77" s="54"/>
      <c r="H77" s="54"/>
      <c r="S77" s="54"/>
      <c r="T77" s="54"/>
      <c r="U77" s="54"/>
      <c r="V77" s="54"/>
    </row>
    <row r="78" spans="1:22" s="53" customFormat="1" x14ac:dyDescent="0.25">
      <c r="A78" s="52"/>
      <c r="C78" s="54"/>
      <c r="F78" s="54"/>
      <c r="H78" s="54"/>
      <c r="S78" s="54"/>
      <c r="T78" s="54"/>
      <c r="U78" s="54"/>
      <c r="V78" s="54"/>
    </row>
    <row r="79" spans="1:22" s="53" customFormat="1" x14ac:dyDescent="0.25">
      <c r="A79" s="52"/>
      <c r="C79" s="54"/>
      <c r="F79" s="54"/>
      <c r="H79" s="54"/>
      <c r="S79" s="54"/>
      <c r="T79" s="54"/>
      <c r="U79" s="54"/>
      <c r="V79" s="54"/>
    </row>
    <row r="80" spans="1:22" s="53" customFormat="1" x14ac:dyDescent="0.25">
      <c r="A80" s="52"/>
      <c r="C80" s="54"/>
      <c r="F80" s="54"/>
      <c r="H80" s="54"/>
      <c r="S80" s="54"/>
      <c r="T80" s="54"/>
      <c r="U80" s="54"/>
      <c r="V80" s="54"/>
    </row>
    <row r="81" spans="1:22" s="53" customFormat="1" x14ac:dyDescent="0.25">
      <c r="A81" s="52"/>
      <c r="C81" s="54"/>
      <c r="F81" s="54"/>
      <c r="H81" s="54"/>
      <c r="S81" s="54"/>
      <c r="T81" s="54"/>
      <c r="U81" s="54"/>
      <c r="V81" s="54"/>
    </row>
    <row r="82" spans="1:22" s="53" customFormat="1" x14ac:dyDescent="0.25">
      <c r="A82" s="52"/>
      <c r="C82" s="54"/>
      <c r="F82" s="54"/>
      <c r="H82" s="54"/>
      <c r="S82" s="54"/>
      <c r="T82" s="54"/>
      <c r="U82" s="54"/>
      <c r="V82" s="54"/>
    </row>
    <row r="83" spans="1:22" s="53" customFormat="1" x14ac:dyDescent="0.25">
      <c r="A83" s="52"/>
      <c r="C83" s="54"/>
      <c r="F83" s="54"/>
      <c r="H83" s="54"/>
      <c r="S83" s="54"/>
      <c r="T83" s="54"/>
      <c r="U83" s="54"/>
      <c r="V83" s="54"/>
    </row>
    <row r="84" spans="1:22" s="53" customFormat="1" x14ac:dyDescent="0.25">
      <c r="A84" s="52"/>
      <c r="C84" s="54"/>
      <c r="F84" s="54"/>
      <c r="H84" s="54"/>
      <c r="S84" s="54"/>
      <c r="T84" s="54"/>
      <c r="U84" s="54"/>
      <c r="V84" s="54"/>
    </row>
    <row r="85" spans="1:22" s="53" customFormat="1" x14ac:dyDescent="0.25">
      <c r="A85" s="52"/>
      <c r="C85" s="54"/>
      <c r="F85" s="54"/>
      <c r="H85" s="54"/>
      <c r="S85" s="54"/>
      <c r="T85" s="54"/>
      <c r="U85" s="54"/>
      <c r="V85" s="54"/>
    </row>
    <row r="86" spans="1:22" s="53" customFormat="1" x14ac:dyDescent="0.25">
      <c r="A86" s="52"/>
      <c r="C86" s="54"/>
      <c r="F86" s="54"/>
      <c r="H86" s="54"/>
      <c r="S86" s="54"/>
      <c r="T86" s="54"/>
      <c r="U86" s="54"/>
      <c r="V86" s="54"/>
    </row>
    <row r="87" spans="1:22" s="53" customFormat="1" x14ac:dyDescent="0.25">
      <c r="A87" s="52"/>
      <c r="C87" s="54"/>
      <c r="F87" s="54"/>
      <c r="H87" s="54"/>
      <c r="S87" s="54"/>
      <c r="T87" s="54"/>
      <c r="U87" s="54"/>
      <c r="V87" s="54"/>
    </row>
    <row r="88" spans="1:22" s="53" customFormat="1" x14ac:dyDescent="0.25">
      <c r="A88" s="52"/>
      <c r="C88" s="54"/>
      <c r="F88" s="54"/>
      <c r="H88" s="54"/>
      <c r="S88" s="54"/>
      <c r="T88" s="54"/>
      <c r="U88" s="54"/>
      <c r="V88" s="54"/>
    </row>
    <row r="89" spans="1:22" s="53" customFormat="1" x14ac:dyDescent="0.25">
      <c r="A89" s="52"/>
      <c r="C89" s="54"/>
      <c r="F89" s="54"/>
      <c r="H89" s="54"/>
      <c r="S89" s="54"/>
      <c r="T89" s="54"/>
      <c r="U89" s="54"/>
      <c r="V89" s="54"/>
    </row>
    <row r="90" spans="1:22" s="53" customFormat="1" x14ac:dyDescent="0.25">
      <c r="A90" s="52"/>
      <c r="C90" s="54"/>
      <c r="F90" s="54"/>
      <c r="H90" s="54"/>
      <c r="S90" s="54"/>
      <c r="T90" s="54"/>
      <c r="U90" s="54"/>
      <c r="V90" s="54"/>
    </row>
    <row r="91" spans="1:22" s="53" customFormat="1" x14ac:dyDescent="0.25">
      <c r="A91" s="52"/>
      <c r="C91" s="54"/>
      <c r="F91" s="54"/>
      <c r="H91" s="54"/>
      <c r="S91" s="54"/>
      <c r="T91" s="54"/>
      <c r="U91" s="54"/>
      <c r="V91" s="54"/>
    </row>
    <row r="92" spans="1:22" s="53" customFormat="1" x14ac:dyDescent="0.25">
      <c r="A92" s="52"/>
      <c r="C92" s="54"/>
      <c r="F92" s="54"/>
      <c r="H92" s="54"/>
      <c r="S92" s="54"/>
      <c r="T92" s="54"/>
      <c r="U92" s="54"/>
      <c r="V92" s="54"/>
    </row>
    <row r="93" spans="1:22" s="53" customFormat="1" x14ac:dyDescent="0.25">
      <c r="A93" s="52"/>
      <c r="C93" s="54"/>
      <c r="F93" s="54"/>
      <c r="H93" s="54"/>
      <c r="S93" s="54"/>
      <c r="T93" s="54"/>
      <c r="U93" s="54"/>
      <c r="V93" s="54"/>
    </row>
    <row r="94" spans="1:22" s="53" customFormat="1" x14ac:dyDescent="0.25">
      <c r="A94" s="52"/>
      <c r="C94" s="54"/>
      <c r="F94" s="54"/>
      <c r="H94" s="54"/>
      <c r="S94" s="54"/>
      <c r="T94" s="54"/>
      <c r="U94" s="54"/>
      <c r="V94" s="54"/>
    </row>
    <row r="95" spans="1:22" s="53" customFormat="1" x14ac:dyDescent="0.25">
      <c r="A95" s="52"/>
      <c r="C95" s="54"/>
      <c r="F95" s="54"/>
      <c r="S95" s="54"/>
      <c r="T95" s="54"/>
      <c r="U95" s="54"/>
      <c r="V95" s="54"/>
    </row>
    <row r="96" spans="1:22" s="53" customFormat="1" x14ac:dyDescent="0.25">
      <c r="A96" s="52"/>
      <c r="C96" s="54"/>
      <c r="F96" s="54"/>
      <c r="S96" s="54"/>
      <c r="T96" s="54"/>
      <c r="U96" s="54"/>
      <c r="V96" s="54"/>
    </row>
    <row r="97" spans="1:22" s="53" customFormat="1" x14ac:dyDescent="0.25">
      <c r="A97" s="52"/>
      <c r="C97" s="54"/>
      <c r="F97" s="54"/>
      <c r="S97" s="54"/>
      <c r="T97" s="54"/>
      <c r="U97" s="54"/>
      <c r="V97" s="54"/>
    </row>
    <row r="98" spans="1:22" s="53" customFormat="1" x14ac:dyDescent="0.25">
      <c r="A98" s="52"/>
      <c r="C98" s="54"/>
      <c r="F98" s="54"/>
      <c r="S98" s="54"/>
      <c r="T98" s="54"/>
      <c r="U98" s="54"/>
      <c r="V98" s="54"/>
    </row>
    <row r="99" spans="1:22" s="53" customFormat="1" x14ac:dyDescent="0.25">
      <c r="A99" s="52"/>
      <c r="C99" s="54"/>
      <c r="F99" s="54"/>
      <c r="S99" s="54"/>
      <c r="T99" s="54"/>
      <c r="U99" s="54"/>
      <c r="V99" s="54"/>
    </row>
    <row r="100" spans="1:22" s="53" customFormat="1" x14ac:dyDescent="0.25">
      <c r="A100" s="52"/>
      <c r="C100" s="54"/>
      <c r="F100" s="54"/>
      <c r="S100" s="54"/>
      <c r="T100" s="54"/>
      <c r="U100" s="54"/>
      <c r="V100" s="54"/>
    </row>
    <row r="101" spans="1:22" s="53" customFormat="1" x14ac:dyDescent="0.25">
      <c r="A101" s="52"/>
      <c r="C101" s="54"/>
      <c r="F101" s="54"/>
      <c r="S101" s="54"/>
      <c r="T101" s="54"/>
      <c r="U101" s="54"/>
      <c r="V101" s="54"/>
    </row>
    <row r="102" spans="1:22" s="53" customFormat="1" x14ac:dyDescent="0.25">
      <c r="A102" s="52"/>
      <c r="C102" s="54"/>
      <c r="F102" s="54"/>
      <c r="S102" s="54"/>
      <c r="T102" s="54"/>
      <c r="U102" s="54"/>
      <c r="V102" s="54"/>
    </row>
    <row r="103" spans="1:22" s="53" customFormat="1" x14ac:dyDescent="0.25">
      <c r="A103" s="52"/>
      <c r="C103" s="54"/>
      <c r="F103" s="54"/>
      <c r="S103" s="54"/>
      <c r="T103" s="54"/>
      <c r="U103" s="54"/>
      <c r="V103" s="54"/>
    </row>
    <row r="104" spans="1:22" s="53" customFormat="1" x14ac:dyDescent="0.25">
      <c r="A104" s="52"/>
      <c r="C104" s="54"/>
      <c r="F104" s="54"/>
      <c r="S104" s="54"/>
      <c r="T104" s="54"/>
      <c r="U104" s="54"/>
      <c r="V104" s="54"/>
    </row>
    <row r="105" spans="1:22" s="53" customFormat="1" x14ac:dyDescent="0.25">
      <c r="A105" s="52"/>
      <c r="C105" s="54"/>
      <c r="F105" s="54"/>
      <c r="S105" s="54"/>
      <c r="T105" s="54"/>
      <c r="U105" s="54"/>
      <c r="V105" s="54"/>
    </row>
    <row r="106" spans="1:22" s="53" customFormat="1" x14ac:dyDescent="0.25">
      <c r="A106" s="52"/>
      <c r="C106" s="54"/>
      <c r="F106" s="54"/>
      <c r="S106" s="54"/>
      <c r="T106" s="54"/>
      <c r="U106" s="54"/>
      <c r="V106" s="54"/>
    </row>
    <row r="107" spans="1:22" s="53" customFormat="1" x14ac:dyDescent="0.25">
      <c r="A107" s="52"/>
      <c r="C107" s="54"/>
      <c r="F107" s="54"/>
      <c r="S107" s="54"/>
      <c r="T107" s="54"/>
      <c r="U107" s="54"/>
      <c r="V107" s="54"/>
    </row>
    <row r="108" spans="1:22" s="53" customFormat="1" x14ac:dyDescent="0.25">
      <c r="A108" s="52"/>
      <c r="C108" s="54"/>
      <c r="F108" s="54"/>
      <c r="S108" s="54"/>
      <c r="T108" s="54"/>
      <c r="U108" s="54"/>
      <c r="V108" s="54"/>
    </row>
    <row r="109" spans="1:22" s="53" customFormat="1" x14ac:dyDescent="0.25">
      <c r="A109" s="52"/>
      <c r="C109" s="54"/>
      <c r="F109" s="54"/>
      <c r="S109" s="54"/>
      <c r="T109" s="54"/>
      <c r="U109" s="54"/>
      <c r="V109" s="54"/>
    </row>
    <row r="110" spans="1:22" s="53" customFormat="1" x14ac:dyDescent="0.25">
      <c r="A110" s="52"/>
      <c r="C110" s="54"/>
      <c r="F110" s="54"/>
      <c r="S110" s="54"/>
      <c r="T110" s="54"/>
      <c r="U110" s="54"/>
      <c r="V110" s="54"/>
    </row>
    <row r="111" spans="1:22" s="53" customFormat="1" x14ac:dyDescent="0.25">
      <c r="A111" s="52"/>
      <c r="C111" s="54"/>
      <c r="F111" s="54"/>
      <c r="S111" s="54"/>
      <c r="T111" s="54"/>
      <c r="U111" s="54"/>
      <c r="V111" s="54"/>
    </row>
    <row r="112" spans="1:22" s="53" customFormat="1" x14ac:dyDescent="0.25">
      <c r="A112" s="52"/>
      <c r="C112" s="54"/>
      <c r="F112" s="54"/>
      <c r="S112" s="54"/>
      <c r="T112" s="54"/>
      <c r="U112" s="54"/>
      <c r="V112" s="54"/>
    </row>
    <row r="113" spans="1:22" s="53" customFormat="1" x14ac:dyDescent="0.25">
      <c r="A113" s="52"/>
      <c r="C113" s="54"/>
      <c r="F113" s="54"/>
      <c r="S113" s="54"/>
      <c r="T113" s="54"/>
      <c r="U113" s="54"/>
      <c r="V113" s="54"/>
    </row>
    <row r="114" spans="1:22" s="53" customFormat="1" x14ac:dyDescent="0.25">
      <c r="A114" s="52"/>
      <c r="C114" s="54"/>
      <c r="F114" s="54"/>
      <c r="S114" s="54"/>
      <c r="T114" s="54"/>
      <c r="U114" s="54"/>
      <c r="V114" s="54"/>
    </row>
    <row r="115" spans="1:22" s="53" customFormat="1" x14ac:dyDescent="0.25">
      <c r="A115" s="52"/>
      <c r="C115" s="54"/>
      <c r="F115" s="54"/>
      <c r="S115" s="54"/>
      <c r="T115" s="54"/>
      <c r="U115" s="54"/>
      <c r="V115" s="54"/>
    </row>
    <row r="116" spans="1:22" s="53" customFormat="1" x14ac:dyDescent="0.25">
      <c r="A116" s="52"/>
      <c r="C116" s="54"/>
      <c r="F116" s="54"/>
      <c r="S116" s="54"/>
      <c r="T116" s="54"/>
      <c r="U116" s="54"/>
      <c r="V116" s="54"/>
    </row>
    <row r="117" spans="1:22" s="53" customFormat="1" x14ac:dyDescent="0.25">
      <c r="A117" s="52"/>
      <c r="C117" s="54"/>
      <c r="F117" s="54"/>
      <c r="S117" s="54"/>
      <c r="T117" s="54"/>
      <c r="U117" s="54"/>
      <c r="V117" s="54"/>
    </row>
    <row r="118" spans="1:22" s="53" customFormat="1" x14ac:dyDescent="0.25">
      <c r="A118" s="52"/>
      <c r="C118" s="54"/>
      <c r="F118" s="54"/>
      <c r="S118" s="54"/>
      <c r="T118" s="54"/>
      <c r="U118" s="54"/>
      <c r="V118" s="54"/>
    </row>
    <row r="119" spans="1:22" s="53" customFormat="1" x14ac:dyDescent="0.25">
      <c r="A119" s="52"/>
      <c r="C119" s="54"/>
      <c r="F119" s="54"/>
      <c r="S119" s="54"/>
      <c r="T119" s="54"/>
      <c r="U119" s="54"/>
      <c r="V119" s="54"/>
    </row>
    <row r="120" spans="1:22" s="53" customFormat="1" x14ac:dyDescent="0.25">
      <c r="A120" s="52"/>
      <c r="C120" s="54"/>
      <c r="F120" s="54"/>
      <c r="S120" s="54"/>
      <c r="T120" s="54"/>
      <c r="U120" s="54"/>
      <c r="V120" s="54"/>
    </row>
    <row r="121" spans="1:22" s="53" customFormat="1" x14ac:dyDescent="0.25">
      <c r="A121" s="52"/>
      <c r="C121" s="54"/>
      <c r="F121" s="54"/>
      <c r="S121" s="54"/>
      <c r="T121" s="54"/>
      <c r="U121" s="54"/>
      <c r="V121" s="54"/>
    </row>
    <row r="122" spans="1:22" s="53" customFormat="1" x14ac:dyDescent="0.25">
      <c r="A122" s="52"/>
      <c r="C122" s="54"/>
      <c r="F122" s="54"/>
      <c r="S122" s="54"/>
      <c r="T122" s="54"/>
      <c r="U122" s="54"/>
      <c r="V122" s="54"/>
    </row>
    <row r="123" spans="1:22" s="53" customFormat="1" x14ac:dyDescent="0.25">
      <c r="A123" s="52"/>
      <c r="C123" s="54"/>
      <c r="F123" s="54"/>
      <c r="S123" s="54"/>
      <c r="T123" s="54"/>
      <c r="U123" s="54"/>
      <c r="V123" s="54"/>
    </row>
    <row r="124" spans="1:22" s="53" customFormat="1" x14ac:dyDescent="0.25">
      <c r="A124" s="52"/>
      <c r="C124" s="54"/>
      <c r="F124" s="54"/>
      <c r="S124" s="54"/>
      <c r="T124" s="54"/>
      <c r="U124" s="54"/>
      <c r="V124" s="54"/>
    </row>
    <row r="125" spans="1:22" s="53" customFormat="1" x14ac:dyDescent="0.25">
      <c r="A125" s="52"/>
      <c r="C125" s="54"/>
      <c r="F125" s="54"/>
      <c r="S125" s="54"/>
      <c r="T125" s="54"/>
      <c r="U125" s="54"/>
      <c r="V125" s="54"/>
    </row>
    <row r="126" spans="1:22" s="53" customFormat="1" x14ac:dyDescent="0.25">
      <c r="A126" s="52"/>
      <c r="C126" s="54"/>
      <c r="F126" s="54"/>
      <c r="S126" s="54"/>
      <c r="T126" s="54"/>
      <c r="U126" s="54"/>
      <c r="V126" s="54"/>
    </row>
    <row r="127" spans="1:22" s="53" customFormat="1" x14ac:dyDescent="0.25">
      <c r="A127" s="52"/>
      <c r="C127" s="54"/>
      <c r="F127" s="54"/>
      <c r="S127" s="54"/>
      <c r="T127" s="54"/>
      <c r="U127" s="54"/>
      <c r="V127" s="54"/>
    </row>
    <row r="128" spans="1:22" s="53" customFormat="1" x14ac:dyDescent="0.25">
      <c r="A128" s="52"/>
      <c r="C128" s="54"/>
      <c r="F128" s="54"/>
      <c r="S128" s="54"/>
      <c r="T128" s="54"/>
      <c r="U128" s="54"/>
      <c r="V128" s="54"/>
    </row>
    <row r="129" spans="1:22" s="53" customFormat="1" x14ac:dyDescent="0.25">
      <c r="A129" s="52"/>
      <c r="C129" s="54"/>
      <c r="F129" s="54"/>
      <c r="S129" s="54"/>
      <c r="T129" s="54"/>
      <c r="U129" s="54"/>
      <c r="V129" s="54"/>
    </row>
    <row r="130" spans="1:22" s="53" customFormat="1" x14ac:dyDescent="0.25">
      <c r="A130" s="52"/>
      <c r="C130" s="54"/>
      <c r="F130" s="54"/>
      <c r="S130" s="54"/>
      <c r="T130" s="54"/>
      <c r="U130" s="54"/>
      <c r="V130" s="54"/>
    </row>
    <row r="131" spans="1:22" s="53" customFormat="1" x14ac:dyDescent="0.25">
      <c r="A131" s="52"/>
      <c r="C131" s="54"/>
      <c r="F131" s="54"/>
      <c r="S131" s="54"/>
      <c r="T131" s="54"/>
      <c r="U131" s="54"/>
      <c r="V131" s="54"/>
    </row>
    <row r="132" spans="1:22" s="53" customFormat="1" x14ac:dyDescent="0.25">
      <c r="A132" s="52"/>
      <c r="C132" s="54"/>
      <c r="F132" s="54"/>
      <c r="S132" s="54"/>
      <c r="T132" s="54"/>
      <c r="U132" s="54"/>
      <c r="V132" s="54"/>
    </row>
    <row r="133" spans="1:22" s="53" customFormat="1" x14ac:dyDescent="0.25">
      <c r="A133" s="52"/>
      <c r="C133" s="54"/>
      <c r="F133" s="54"/>
      <c r="S133" s="54"/>
      <c r="T133" s="54"/>
      <c r="U133" s="54"/>
      <c r="V133" s="54"/>
    </row>
    <row r="134" spans="1:22" s="53" customFormat="1" x14ac:dyDescent="0.25">
      <c r="A134" s="52"/>
      <c r="C134" s="54"/>
      <c r="F134" s="54"/>
      <c r="S134" s="54"/>
      <c r="T134" s="54"/>
      <c r="U134" s="54"/>
      <c r="V134" s="54"/>
    </row>
    <row r="135" spans="1:22" s="53" customFormat="1" x14ac:dyDescent="0.25">
      <c r="A135" s="52"/>
      <c r="C135" s="54"/>
      <c r="F135" s="54"/>
      <c r="S135" s="54"/>
      <c r="T135" s="54"/>
      <c r="U135" s="54"/>
      <c r="V135" s="54"/>
    </row>
    <row r="136" spans="1:22" s="53" customFormat="1" x14ac:dyDescent="0.25">
      <c r="A136" s="52"/>
      <c r="C136" s="54"/>
      <c r="F136" s="54"/>
      <c r="S136" s="54"/>
      <c r="T136" s="54"/>
      <c r="U136" s="54"/>
      <c r="V136" s="54"/>
    </row>
    <row r="137" spans="1:22" s="53" customFormat="1" x14ac:dyDescent="0.25">
      <c r="A137" s="52"/>
      <c r="C137" s="54"/>
      <c r="F137" s="54"/>
      <c r="S137" s="54"/>
      <c r="T137" s="54"/>
      <c r="U137" s="54"/>
      <c r="V137" s="54"/>
    </row>
    <row r="138" spans="1:22" s="53" customFormat="1" x14ac:dyDescent="0.25">
      <c r="A138" s="52"/>
      <c r="C138" s="54"/>
      <c r="F138" s="54"/>
      <c r="S138" s="54"/>
      <c r="T138" s="54"/>
      <c r="U138" s="54"/>
      <c r="V138" s="54"/>
    </row>
    <row r="139" spans="1:22" s="53" customFormat="1" x14ac:dyDescent="0.25">
      <c r="A139" s="52"/>
      <c r="C139" s="54"/>
      <c r="F139" s="54"/>
      <c r="S139" s="54"/>
      <c r="T139" s="54"/>
      <c r="U139" s="54"/>
      <c r="V139" s="54"/>
    </row>
    <row r="140" spans="1:22" s="53" customFormat="1" x14ac:dyDescent="0.25">
      <c r="A140" s="52"/>
      <c r="C140" s="54"/>
      <c r="F140" s="54"/>
      <c r="S140" s="54"/>
      <c r="T140" s="54"/>
      <c r="U140" s="54"/>
      <c r="V140" s="54"/>
    </row>
    <row r="141" spans="1:22" s="53" customFormat="1" x14ac:dyDescent="0.25">
      <c r="A141" s="52"/>
      <c r="C141" s="54"/>
      <c r="F141" s="54"/>
      <c r="S141" s="54"/>
      <c r="T141" s="54"/>
      <c r="U141" s="54"/>
      <c r="V141" s="54"/>
    </row>
    <row r="142" spans="1:22" s="53" customFormat="1" x14ac:dyDescent="0.25">
      <c r="A142" s="52"/>
      <c r="C142" s="54"/>
      <c r="F142" s="54"/>
      <c r="S142" s="54"/>
      <c r="T142" s="54"/>
      <c r="U142" s="54"/>
      <c r="V142" s="54"/>
    </row>
    <row r="143" spans="1:22" s="53" customFormat="1" x14ac:dyDescent="0.25">
      <c r="A143" s="52"/>
      <c r="C143" s="54"/>
      <c r="F143" s="54"/>
      <c r="S143" s="54"/>
      <c r="T143" s="54"/>
      <c r="U143" s="54"/>
      <c r="V143" s="54"/>
    </row>
    <row r="144" spans="1:22" s="53" customFormat="1" x14ac:dyDescent="0.25">
      <c r="A144" s="52"/>
      <c r="C144" s="54"/>
      <c r="F144" s="54"/>
      <c r="S144" s="54"/>
      <c r="T144" s="54"/>
      <c r="U144" s="54"/>
      <c r="V144" s="54"/>
    </row>
    <row r="145" spans="1:22" s="53" customFormat="1" x14ac:dyDescent="0.25">
      <c r="A145" s="52"/>
      <c r="C145" s="54"/>
      <c r="F145" s="54"/>
      <c r="S145" s="54"/>
      <c r="T145" s="54"/>
      <c r="U145" s="54"/>
      <c r="V145" s="54"/>
    </row>
    <row r="146" spans="1:22" s="53" customFormat="1" x14ac:dyDescent="0.25">
      <c r="A146" s="52"/>
      <c r="C146" s="54"/>
      <c r="F146" s="54"/>
      <c r="S146" s="54"/>
      <c r="T146" s="54"/>
      <c r="U146" s="54"/>
      <c r="V146" s="54"/>
    </row>
    <row r="147" spans="1:22" s="53" customFormat="1" x14ac:dyDescent="0.25">
      <c r="A147" s="52"/>
      <c r="C147" s="54"/>
      <c r="F147" s="54"/>
      <c r="S147" s="54"/>
      <c r="T147" s="54"/>
      <c r="U147" s="54"/>
      <c r="V147" s="54"/>
    </row>
    <row r="148" spans="1:22" s="53" customFormat="1" x14ac:dyDescent="0.25">
      <c r="A148" s="52"/>
      <c r="C148" s="54"/>
      <c r="F148" s="54"/>
      <c r="S148" s="54"/>
      <c r="T148" s="54"/>
      <c r="U148" s="54"/>
      <c r="V148" s="54"/>
    </row>
    <row r="149" spans="1:22" s="53" customFormat="1" x14ac:dyDescent="0.25">
      <c r="A149" s="52"/>
      <c r="C149" s="54"/>
      <c r="F149" s="54"/>
      <c r="S149" s="54"/>
      <c r="T149" s="54"/>
      <c r="U149" s="54"/>
      <c r="V149" s="54"/>
    </row>
    <row r="150" spans="1:22" s="53" customFormat="1" x14ac:dyDescent="0.25">
      <c r="A150" s="52"/>
      <c r="C150" s="54"/>
      <c r="F150" s="54"/>
      <c r="S150" s="54"/>
      <c r="T150" s="54"/>
      <c r="U150" s="54"/>
      <c r="V150" s="54"/>
    </row>
    <row r="151" spans="1:22" s="53" customFormat="1" x14ac:dyDescent="0.25">
      <c r="A151" s="52"/>
      <c r="C151" s="54"/>
      <c r="F151" s="54"/>
      <c r="S151" s="54"/>
      <c r="T151" s="54"/>
      <c r="U151" s="54"/>
      <c r="V151" s="54"/>
    </row>
    <row r="152" spans="1:22" s="53" customFormat="1" x14ac:dyDescent="0.25">
      <c r="A152" s="52"/>
      <c r="C152" s="54"/>
      <c r="F152" s="54"/>
      <c r="S152" s="54"/>
      <c r="T152" s="54"/>
      <c r="U152" s="54"/>
      <c r="V152" s="54"/>
    </row>
    <row r="153" spans="1:22" s="53" customFormat="1" x14ac:dyDescent="0.25">
      <c r="A153" s="52"/>
      <c r="C153" s="54"/>
      <c r="F153" s="54"/>
      <c r="S153" s="54"/>
      <c r="T153" s="54"/>
      <c r="U153" s="54"/>
      <c r="V153" s="54"/>
    </row>
    <row r="154" spans="1:22" s="53" customFormat="1" x14ac:dyDescent="0.25">
      <c r="A154" s="52"/>
      <c r="C154" s="54"/>
      <c r="F154" s="54"/>
      <c r="S154" s="54"/>
      <c r="T154" s="54"/>
      <c r="U154" s="54"/>
      <c r="V154" s="54"/>
    </row>
    <row r="155" spans="1:22" s="53" customFormat="1" x14ac:dyDescent="0.25">
      <c r="A155" s="52"/>
      <c r="C155" s="54"/>
      <c r="F155" s="54"/>
      <c r="S155" s="54"/>
      <c r="T155" s="54"/>
      <c r="U155" s="54"/>
      <c r="V155" s="54"/>
    </row>
    <row r="156" spans="1:22" s="53" customFormat="1" x14ac:dyDescent="0.25">
      <c r="A156" s="52"/>
      <c r="C156" s="54"/>
      <c r="F156" s="54"/>
      <c r="S156" s="54"/>
      <c r="T156" s="54"/>
      <c r="U156" s="54"/>
      <c r="V156" s="54"/>
    </row>
    <row r="157" spans="1:22" s="53" customFormat="1" x14ac:dyDescent="0.25">
      <c r="A157" s="52"/>
      <c r="C157" s="54"/>
      <c r="F157" s="54"/>
      <c r="S157" s="54"/>
      <c r="T157" s="54"/>
      <c r="U157" s="54"/>
      <c r="V157" s="54"/>
    </row>
    <row r="158" spans="1:22" s="53" customFormat="1" x14ac:dyDescent="0.25">
      <c r="A158" s="52"/>
      <c r="C158" s="54"/>
      <c r="F158" s="54"/>
      <c r="S158" s="54"/>
      <c r="T158" s="54"/>
      <c r="U158" s="54"/>
      <c r="V158" s="54"/>
    </row>
    <row r="159" spans="1:22" s="53" customFormat="1" x14ac:dyDescent="0.25">
      <c r="A159" s="52"/>
      <c r="C159" s="54"/>
      <c r="F159" s="54"/>
      <c r="S159" s="54"/>
      <c r="T159" s="54"/>
      <c r="U159" s="54"/>
      <c r="V159" s="54"/>
    </row>
    <row r="160" spans="1:22" s="53" customFormat="1" x14ac:dyDescent="0.25">
      <c r="A160" s="52"/>
      <c r="C160" s="54"/>
      <c r="F160" s="54"/>
      <c r="S160" s="54"/>
      <c r="T160" s="54"/>
      <c r="U160" s="54"/>
      <c r="V160" s="54"/>
    </row>
    <row r="161" spans="1:22" s="53" customFormat="1" x14ac:dyDescent="0.25">
      <c r="A161" s="52"/>
      <c r="C161" s="54"/>
      <c r="F161" s="54"/>
      <c r="S161" s="54"/>
      <c r="T161" s="54"/>
      <c r="U161" s="54"/>
      <c r="V161" s="54"/>
    </row>
    <row r="162" spans="1:22" s="53" customFormat="1" x14ac:dyDescent="0.25">
      <c r="A162" s="52"/>
      <c r="C162" s="54"/>
      <c r="F162" s="54"/>
      <c r="S162" s="54"/>
      <c r="T162" s="54"/>
      <c r="U162" s="54"/>
      <c r="V162" s="54"/>
    </row>
    <row r="163" spans="1:22" s="53" customFormat="1" x14ac:dyDescent="0.25">
      <c r="A163" s="52"/>
      <c r="C163" s="54"/>
      <c r="F163" s="54"/>
      <c r="S163" s="54"/>
      <c r="T163" s="54"/>
      <c r="U163" s="54"/>
      <c r="V163" s="54"/>
    </row>
    <row r="164" spans="1:22" s="53" customFormat="1" x14ac:dyDescent="0.25">
      <c r="A164" s="52"/>
      <c r="C164" s="54"/>
      <c r="F164" s="54"/>
      <c r="S164" s="54"/>
      <c r="T164" s="54"/>
      <c r="U164" s="54"/>
      <c r="V164" s="54"/>
    </row>
    <row r="165" spans="1:22" s="53" customFormat="1" x14ac:dyDescent="0.25">
      <c r="A165" s="52"/>
      <c r="C165" s="54"/>
      <c r="F165" s="54"/>
      <c r="S165" s="54"/>
      <c r="T165" s="54"/>
      <c r="U165" s="54"/>
      <c r="V165" s="54"/>
    </row>
    <row r="166" spans="1:22" s="53" customFormat="1" x14ac:dyDescent="0.25">
      <c r="A166" s="52"/>
      <c r="C166" s="54"/>
      <c r="F166" s="54"/>
      <c r="S166" s="54"/>
      <c r="T166" s="54"/>
      <c r="U166" s="54"/>
      <c r="V166" s="54"/>
    </row>
    <row r="167" spans="1:22" s="53" customFormat="1" x14ac:dyDescent="0.25">
      <c r="A167" s="52"/>
      <c r="C167" s="54"/>
      <c r="F167" s="54"/>
      <c r="S167" s="54"/>
      <c r="T167" s="54"/>
      <c r="U167" s="54"/>
      <c r="V167" s="54"/>
    </row>
    <row r="168" spans="1:22" s="53" customFormat="1" x14ac:dyDescent="0.25">
      <c r="A168" s="52"/>
      <c r="C168" s="54"/>
      <c r="F168" s="54"/>
      <c r="S168" s="54"/>
      <c r="T168" s="54"/>
      <c r="U168" s="54"/>
      <c r="V168" s="54"/>
    </row>
    <row r="169" spans="1:22" s="53" customFormat="1" x14ac:dyDescent="0.25">
      <c r="A169" s="52"/>
      <c r="C169" s="54"/>
      <c r="F169" s="54"/>
      <c r="S169" s="54"/>
      <c r="T169" s="54"/>
      <c r="U169" s="54"/>
      <c r="V169" s="54"/>
    </row>
    <row r="170" spans="1:22" s="53" customFormat="1" x14ac:dyDescent="0.25">
      <c r="A170" s="52"/>
      <c r="C170" s="54"/>
      <c r="F170" s="54"/>
      <c r="S170" s="54"/>
      <c r="T170" s="54"/>
      <c r="U170" s="54"/>
      <c r="V170" s="54"/>
    </row>
    <row r="171" spans="1:22" s="53" customFormat="1" x14ac:dyDescent="0.25">
      <c r="A171" s="52"/>
      <c r="C171" s="54"/>
      <c r="F171" s="54"/>
      <c r="S171" s="54"/>
      <c r="T171" s="54"/>
      <c r="U171" s="54"/>
      <c r="V171" s="54"/>
    </row>
    <row r="172" spans="1:22" s="53" customFormat="1" x14ac:dyDescent="0.25">
      <c r="A172" s="52"/>
      <c r="C172" s="54"/>
      <c r="F172" s="54"/>
      <c r="S172" s="54"/>
      <c r="T172" s="54"/>
      <c r="U172" s="54"/>
      <c r="V172" s="54"/>
    </row>
    <row r="173" spans="1:22" s="53" customFormat="1" x14ac:dyDescent="0.25">
      <c r="A173" s="52"/>
      <c r="C173" s="54"/>
      <c r="F173" s="54"/>
      <c r="S173" s="54"/>
      <c r="T173" s="54"/>
      <c r="U173" s="54"/>
      <c r="V173" s="54"/>
    </row>
    <row r="174" spans="1:22" s="53" customFormat="1" x14ac:dyDescent="0.25">
      <c r="A174" s="52"/>
      <c r="C174" s="54"/>
      <c r="F174" s="54"/>
      <c r="S174" s="54"/>
      <c r="T174" s="54"/>
      <c r="U174" s="54"/>
      <c r="V174" s="54"/>
    </row>
    <row r="175" spans="1:22" s="53" customFormat="1" x14ac:dyDescent="0.25">
      <c r="A175" s="52"/>
      <c r="C175" s="54"/>
      <c r="F175" s="54"/>
      <c r="S175" s="54"/>
      <c r="T175" s="54"/>
      <c r="U175" s="54"/>
      <c r="V175" s="54"/>
    </row>
    <row r="176" spans="1:22" s="53" customFormat="1" x14ac:dyDescent="0.25">
      <c r="A176" s="52"/>
      <c r="C176" s="54"/>
      <c r="F176" s="54"/>
      <c r="S176" s="54"/>
      <c r="T176" s="54"/>
      <c r="U176" s="54"/>
      <c r="V176" s="54"/>
    </row>
    <row r="177" spans="1:22" s="53" customFormat="1" x14ac:dyDescent="0.25">
      <c r="A177" s="52"/>
      <c r="C177" s="54"/>
      <c r="F177" s="54"/>
      <c r="S177" s="54"/>
      <c r="T177" s="54"/>
      <c r="U177" s="54"/>
      <c r="V177" s="54"/>
    </row>
    <row r="178" spans="1:22" s="53" customFormat="1" x14ac:dyDescent="0.25">
      <c r="A178" s="52"/>
      <c r="C178" s="54"/>
      <c r="F178" s="54"/>
      <c r="S178" s="54"/>
      <c r="T178" s="54"/>
      <c r="U178" s="54"/>
      <c r="V178" s="54"/>
    </row>
    <row r="179" spans="1:22" s="53" customFormat="1" x14ac:dyDescent="0.25">
      <c r="A179" s="52"/>
      <c r="C179" s="54"/>
      <c r="F179" s="54"/>
      <c r="S179" s="54"/>
      <c r="T179" s="54"/>
      <c r="U179" s="54"/>
      <c r="V179" s="54"/>
    </row>
    <row r="180" spans="1:22" s="53" customFormat="1" x14ac:dyDescent="0.25">
      <c r="A180" s="52"/>
      <c r="C180" s="54"/>
      <c r="F180" s="54"/>
      <c r="S180" s="54"/>
      <c r="T180" s="54"/>
      <c r="U180" s="54"/>
      <c r="V180" s="54"/>
    </row>
    <row r="181" spans="1:22" s="53" customFormat="1" x14ac:dyDescent="0.25">
      <c r="A181" s="52"/>
      <c r="C181" s="54"/>
      <c r="F181" s="54"/>
      <c r="S181" s="54"/>
      <c r="T181" s="54"/>
      <c r="U181" s="54"/>
      <c r="V181" s="54"/>
    </row>
    <row r="182" spans="1:22" s="53" customFormat="1" x14ac:dyDescent="0.25">
      <c r="A182" s="52"/>
      <c r="C182" s="54"/>
      <c r="F182" s="54"/>
      <c r="S182" s="54"/>
      <c r="T182" s="54"/>
      <c r="U182" s="54"/>
      <c r="V182" s="54"/>
    </row>
    <row r="183" spans="1:22" s="53" customFormat="1" x14ac:dyDescent="0.25">
      <c r="A183" s="52"/>
      <c r="C183" s="54"/>
      <c r="F183" s="54"/>
      <c r="S183" s="54"/>
      <c r="T183" s="54"/>
      <c r="U183" s="54"/>
      <c r="V183" s="54"/>
    </row>
    <row r="184" spans="1:22" s="53" customFormat="1" x14ac:dyDescent="0.25">
      <c r="A184" s="52"/>
      <c r="C184" s="54"/>
      <c r="F184" s="54"/>
      <c r="S184" s="54"/>
      <c r="T184" s="54"/>
      <c r="U184" s="54"/>
      <c r="V184" s="54"/>
    </row>
    <row r="185" spans="1:22" s="53" customFormat="1" x14ac:dyDescent="0.25">
      <c r="A185" s="52"/>
      <c r="C185" s="54"/>
      <c r="F185" s="54"/>
      <c r="S185" s="54"/>
      <c r="T185" s="54"/>
      <c r="U185" s="54"/>
      <c r="V185" s="54"/>
    </row>
    <row r="186" spans="1:22" s="53" customFormat="1" x14ac:dyDescent="0.25">
      <c r="A186" s="52"/>
      <c r="C186" s="54"/>
      <c r="F186" s="54"/>
      <c r="S186" s="54"/>
      <c r="T186" s="54"/>
      <c r="U186" s="54"/>
      <c r="V186" s="54"/>
    </row>
    <row r="187" spans="1:22" s="53" customFormat="1" x14ac:dyDescent="0.25">
      <c r="A187" s="52"/>
      <c r="C187" s="54"/>
      <c r="F187" s="54"/>
      <c r="S187" s="54"/>
      <c r="T187" s="54"/>
      <c r="U187" s="54"/>
      <c r="V187" s="54"/>
    </row>
    <row r="188" spans="1:22" s="53" customFormat="1" x14ac:dyDescent="0.25">
      <c r="A188" s="52"/>
      <c r="C188" s="54"/>
      <c r="F188" s="54"/>
      <c r="S188" s="54"/>
      <c r="T188" s="54"/>
      <c r="U188" s="54"/>
      <c r="V188" s="54"/>
    </row>
    <row r="189" spans="1:22" s="53" customFormat="1" x14ac:dyDescent="0.25">
      <c r="A189" s="52"/>
      <c r="C189" s="54"/>
      <c r="F189" s="54"/>
      <c r="S189" s="54"/>
      <c r="T189" s="54"/>
      <c r="U189" s="54"/>
      <c r="V189" s="54"/>
    </row>
    <row r="190" spans="1:22" s="53" customFormat="1" x14ac:dyDescent="0.25">
      <c r="A190" s="52"/>
      <c r="C190" s="54"/>
      <c r="F190" s="54"/>
      <c r="S190" s="54"/>
      <c r="T190" s="54"/>
      <c r="U190" s="54"/>
      <c r="V190" s="54"/>
    </row>
    <row r="191" spans="1:22" s="53" customFormat="1" x14ac:dyDescent="0.25">
      <c r="A191" s="52"/>
      <c r="C191" s="54"/>
      <c r="F191" s="54"/>
      <c r="S191" s="54"/>
      <c r="T191" s="54"/>
      <c r="U191" s="54"/>
      <c r="V191" s="54"/>
    </row>
    <row r="192" spans="1:22" s="53" customFormat="1" x14ac:dyDescent="0.25">
      <c r="A192" s="52"/>
      <c r="C192" s="54"/>
      <c r="F192" s="54"/>
      <c r="S192" s="54"/>
      <c r="T192" s="54"/>
      <c r="U192" s="54"/>
      <c r="V192" s="54"/>
    </row>
    <row r="193" spans="1:22" s="53" customFormat="1" x14ac:dyDescent="0.25">
      <c r="A193" s="52"/>
      <c r="C193" s="54"/>
      <c r="F193" s="54"/>
      <c r="S193" s="54"/>
      <c r="T193" s="54"/>
      <c r="U193" s="54"/>
      <c r="V193" s="54"/>
    </row>
    <row r="194" spans="1:22" s="53" customFormat="1" x14ac:dyDescent="0.25">
      <c r="A194" s="52"/>
      <c r="C194" s="54"/>
      <c r="F194" s="54"/>
      <c r="S194" s="54"/>
      <c r="T194" s="54"/>
      <c r="U194" s="54"/>
      <c r="V194" s="54"/>
    </row>
    <row r="195" spans="1:22" s="53" customFormat="1" x14ac:dyDescent="0.25">
      <c r="A195" s="52"/>
      <c r="C195" s="54"/>
      <c r="F195" s="54"/>
      <c r="S195" s="54"/>
      <c r="T195" s="54"/>
      <c r="U195" s="54"/>
      <c r="V195" s="54"/>
    </row>
    <row r="196" spans="1:22" s="53" customFormat="1" x14ac:dyDescent="0.25">
      <c r="A196" s="52"/>
      <c r="C196" s="54"/>
      <c r="F196" s="54"/>
      <c r="S196" s="54"/>
      <c r="T196" s="54"/>
      <c r="U196" s="54"/>
      <c r="V196" s="54"/>
    </row>
    <row r="197" spans="1:22" s="53" customFormat="1" x14ac:dyDescent="0.25">
      <c r="A197" s="52"/>
      <c r="C197" s="54"/>
      <c r="F197" s="54"/>
      <c r="S197" s="54"/>
      <c r="T197" s="54"/>
      <c r="U197" s="54"/>
      <c r="V197" s="54"/>
    </row>
    <row r="198" spans="1:22" s="53" customFormat="1" x14ac:dyDescent="0.25">
      <c r="A198" s="52"/>
      <c r="C198" s="54"/>
      <c r="F198" s="54"/>
      <c r="S198" s="54"/>
      <c r="T198" s="54"/>
      <c r="U198" s="54"/>
      <c r="V198" s="54"/>
    </row>
    <row r="199" spans="1:22" s="53" customFormat="1" x14ac:dyDescent="0.25">
      <c r="A199" s="52"/>
      <c r="C199" s="54"/>
      <c r="F199" s="54"/>
      <c r="S199" s="54"/>
      <c r="T199" s="54"/>
      <c r="U199" s="54"/>
      <c r="V199" s="54"/>
    </row>
    <row r="200" spans="1:22" s="53" customFormat="1" x14ac:dyDescent="0.25">
      <c r="A200" s="52"/>
      <c r="C200" s="54"/>
      <c r="F200" s="54"/>
      <c r="S200" s="54"/>
      <c r="T200" s="54"/>
      <c r="U200" s="54"/>
      <c r="V200" s="54"/>
    </row>
    <row r="201" spans="1:22" s="53" customFormat="1" x14ac:dyDescent="0.25">
      <c r="A201" s="52"/>
      <c r="C201" s="54"/>
      <c r="F201" s="54"/>
      <c r="S201" s="54"/>
      <c r="T201" s="54"/>
      <c r="U201" s="54"/>
      <c r="V201" s="54"/>
    </row>
    <row r="202" spans="1:22" s="53" customFormat="1" x14ac:dyDescent="0.25">
      <c r="A202" s="52"/>
      <c r="C202" s="54"/>
      <c r="F202" s="54"/>
      <c r="S202" s="54"/>
      <c r="T202" s="54"/>
      <c r="U202" s="54"/>
      <c r="V202" s="54"/>
    </row>
    <row r="203" spans="1:22" s="53" customFormat="1" x14ac:dyDescent="0.25">
      <c r="A203" s="52"/>
      <c r="C203" s="54"/>
      <c r="F203" s="54"/>
      <c r="S203" s="54"/>
      <c r="T203" s="54"/>
      <c r="U203" s="54"/>
      <c r="V203" s="54"/>
    </row>
    <row r="204" spans="1:22" s="53" customFormat="1" x14ac:dyDescent="0.25">
      <c r="A204" s="52"/>
      <c r="C204" s="54"/>
      <c r="F204" s="54"/>
      <c r="S204" s="54"/>
      <c r="T204" s="54"/>
      <c r="U204" s="54"/>
      <c r="V204" s="54"/>
    </row>
    <row r="205" spans="1:22" s="53" customFormat="1" x14ac:dyDescent="0.25">
      <c r="A205" s="52"/>
      <c r="C205" s="54"/>
      <c r="F205" s="54"/>
      <c r="S205" s="54"/>
      <c r="T205" s="54"/>
      <c r="U205" s="54"/>
      <c r="V205" s="54"/>
    </row>
    <row r="206" spans="1:22" s="53" customFormat="1" x14ac:dyDescent="0.25">
      <c r="A206" s="52"/>
      <c r="C206" s="54"/>
      <c r="F206" s="54"/>
      <c r="S206" s="54"/>
      <c r="T206" s="54"/>
      <c r="U206" s="54"/>
      <c r="V206" s="54"/>
    </row>
    <row r="207" spans="1:22" s="53" customFormat="1" x14ac:dyDescent="0.25">
      <c r="A207" s="52"/>
      <c r="C207" s="54"/>
      <c r="F207" s="54"/>
      <c r="S207" s="54"/>
      <c r="T207" s="54"/>
      <c r="U207" s="54"/>
      <c r="V207" s="54"/>
    </row>
    <row r="208" spans="1:22" s="53" customFormat="1" x14ac:dyDescent="0.25">
      <c r="A208" s="52"/>
      <c r="C208" s="54"/>
      <c r="F208" s="54"/>
      <c r="S208" s="54"/>
      <c r="T208" s="54"/>
      <c r="U208" s="54"/>
      <c r="V208" s="54"/>
    </row>
    <row r="209" spans="1:22" s="53" customFormat="1" x14ac:dyDescent="0.25">
      <c r="A209" s="52"/>
      <c r="C209" s="54"/>
      <c r="F209" s="54"/>
      <c r="S209" s="54"/>
      <c r="T209" s="54"/>
      <c r="U209" s="54"/>
      <c r="V209" s="54"/>
    </row>
    <row r="210" spans="1:22" s="53" customFormat="1" x14ac:dyDescent="0.25">
      <c r="A210" s="52"/>
      <c r="C210" s="54"/>
      <c r="F210" s="54"/>
      <c r="S210" s="54"/>
      <c r="T210" s="54"/>
      <c r="U210" s="54"/>
      <c r="V210" s="54"/>
    </row>
    <row r="211" spans="1:22" s="53" customFormat="1" x14ac:dyDescent="0.25">
      <c r="A211" s="52"/>
      <c r="C211" s="54"/>
      <c r="F211" s="54"/>
      <c r="S211" s="54"/>
      <c r="T211" s="54"/>
      <c r="U211" s="54"/>
      <c r="V211" s="54"/>
    </row>
    <row r="212" spans="1:22" s="53" customFormat="1" x14ac:dyDescent="0.25">
      <c r="A212" s="52"/>
      <c r="C212" s="54"/>
      <c r="F212" s="54"/>
      <c r="S212" s="54"/>
      <c r="T212" s="54"/>
      <c r="U212" s="54"/>
      <c r="V212" s="54"/>
    </row>
    <row r="213" spans="1:22" s="53" customFormat="1" x14ac:dyDescent="0.25">
      <c r="A213" s="52"/>
      <c r="C213" s="54"/>
      <c r="F213" s="54"/>
      <c r="S213" s="54"/>
      <c r="T213" s="54"/>
      <c r="U213" s="54"/>
      <c r="V213" s="54"/>
    </row>
    <row r="214" spans="1:22" s="53" customFormat="1" x14ac:dyDescent="0.25">
      <c r="A214" s="52"/>
      <c r="C214" s="54"/>
      <c r="F214" s="54"/>
      <c r="S214" s="54"/>
      <c r="T214" s="54"/>
      <c r="U214" s="54"/>
      <c r="V214" s="54"/>
    </row>
    <row r="215" spans="1:22" s="53" customFormat="1" x14ac:dyDescent="0.25">
      <c r="A215" s="52"/>
      <c r="C215" s="54"/>
      <c r="F215" s="54"/>
      <c r="S215" s="54"/>
      <c r="T215" s="54"/>
      <c r="U215" s="54"/>
      <c r="V215" s="54"/>
    </row>
    <row r="216" spans="1:22" s="53" customFormat="1" x14ac:dyDescent="0.25">
      <c r="A216" s="52"/>
      <c r="C216" s="54"/>
      <c r="F216" s="54"/>
      <c r="S216" s="54"/>
      <c r="T216" s="54"/>
      <c r="U216" s="54"/>
      <c r="V216" s="54"/>
    </row>
    <row r="217" spans="1:22" s="53" customFormat="1" x14ac:dyDescent="0.25">
      <c r="A217" s="52"/>
      <c r="C217" s="54"/>
      <c r="F217" s="54"/>
      <c r="S217" s="54"/>
      <c r="T217" s="54"/>
      <c r="U217" s="54"/>
      <c r="V217" s="54"/>
    </row>
    <row r="218" spans="1:22" s="53" customFormat="1" x14ac:dyDescent="0.25">
      <c r="A218" s="52"/>
      <c r="C218" s="54"/>
      <c r="F218" s="54"/>
      <c r="S218" s="54"/>
      <c r="T218" s="54"/>
      <c r="U218" s="54"/>
      <c r="V218" s="54"/>
    </row>
    <row r="219" spans="1:22" s="53" customFormat="1" x14ac:dyDescent="0.25">
      <c r="A219" s="52"/>
      <c r="C219" s="54"/>
      <c r="F219" s="54"/>
      <c r="S219" s="54"/>
      <c r="T219" s="54"/>
      <c r="U219" s="54"/>
      <c r="V219" s="54"/>
    </row>
    <row r="220" spans="1:22" s="53" customFormat="1" x14ac:dyDescent="0.25">
      <c r="A220" s="52"/>
      <c r="C220" s="54"/>
      <c r="F220" s="54"/>
      <c r="S220" s="54"/>
      <c r="T220" s="54"/>
      <c r="U220" s="54"/>
      <c r="V220" s="54"/>
    </row>
    <row r="221" spans="1:22" s="53" customFormat="1" x14ac:dyDescent="0.25">
      <c r="A221" s="52"/>
      <c r="C221" s="54"/>
      <c r="F221" s="54"/>
      <c r="S221" s="54"/>
      <c r="T221" s="54"/>
      <c r="U221" s="54"/>
      <c r="V221" s="54"/>
    </row>
    <row r="222" spans="1:22" s="53" customFormat="1" x14ac:dyDescent="0.25">
      <c r="A222" s="52"/>
      <c r="C222" s="54"/>
      <c r="F222" s="54"/>
      <c r="S222" s="54"/>
      <c r="T222" s="54"/>
      <c r="U222" s="54"/>
      <c r="V222" s="54"/>
    </row>
    <row r="223" spans="1:22" s="53" customFormat="1" x14ac:dyDescent="0.25">
      <c r="A223" s="52"/>
      <c r="C223" s="54"/>
      <c r="F223" s="54"/>
      <c r="S223" s="54"/>
      <c r="T223" s="54"/>
      <c r="U223" s="54"/>
      <c r="V223" s="54"/>
    </row>
    <row r="224" spans="1:22" s="53" customFormat="1" x14ac:dyDescent="0.25">
      <c r="A224" s="52"/>
      <c r="C224" s="54"/>
      <c r="F224" s="54"/>
      <c r="S224" s="54"/>
      <c r="T224" s="54"/>
      <c r="U224" s="54"/>
      <c r="V224" s="54"/>
    </row>
    <row r="225" spans="1:22" s="53" customFormat="1" x14ac:dyDescent="0.25">
      <c r="A225" s="52"/>
      <c r="C225" s="54"/>
      <c r="F225" s="54"/>
      <c r="S225" s="54"/>
      <c r="T225" s="54"/>
      <c r="U225" s="54"/>
      <c r="V225" s="54"/>
    </row>
    <row r="226" spans="1:22" s="53" customFormat="1" x14ac:dyDescent="0.25">
      <c r="A226" s="52"/>
      <c r="C226" s="54"/>
      <c r="F226" s="54"/>
      <c r="S226" s="54"/>
      <c r="T226" s="54"/>
      <c r="U226" s="54"/>
      <c r="V226" s="54"/>
    </row>
    <row r="227" spans="1:22" s="53" customFormat="1" x14ac:dyDescent="0.25">
      <c r="A227" s="52"/>
      <c r="C227" s="54"/>
      <c r="F227" s="54"/>
      <c r="S227" s="54"/>
      <c r="T227" s="54"/>
      <c r="U227" s="54"/>
      <c r="V227" s="54"/>
    </row>
    <row r="228" spans="1:22" s="53" customFormat="1" x14ac:dyDescent="0.25">
      <c r="A228" s="52"/>
      <c r="C228" s="54"/>
      <c r="F228" s="54"/>
      <c r="S228" s="54"/>
      <c r="T228" s="54"/>
      <c r="U228" s="54"/>
      <c r="V228" s="54"/>
    </row>
    <row r="229" spans="1:22" s="53" customFormat="1" x14ac:dyDescent="0.25">
      <c r="A229" s="52"/>
      <c r="C229" s="54"/>
      <c r="F229" s="54"/>
      <c r="S229" s="54"/>
      <c r="T229" s="54"/>
      <c r="U229" s="54"/>
      <c r="V229" s="54"/>
    </row>
    <row r="230" spans="1:22" s="53" customFormat="1" x14ac:dyDescent="0.25">
      <c r="A230" s="52"/>
      <c r="C230" s="54"/>
      <c r="F230" s="54"/>
      <c r="S230" s="54"/>
      <c r="T230" s="54"/>
      <c r="U230" s="54"/>
      <c r="V230" s="54"/>
    </row>
    <row r="231" spans="1:22" s="53" customFormat="1" x14ac:dyDescent="0.25">
      <c r="A231" s="52"/>
      <c r="C231" s="54"/>
      <c r="F231" s="54"/>
      <c r="S231" s="54"/>
      <c r="T231" s="54"/>
      <c r="U231" s="54"/>
      <c r="V231" s="54"/>
    </row>
    <row r="232" spans="1:22" s="53" customFormat="1" x14ac:dyDescent="0.25">
      <c r="A232" s="52"/>
      <c r="C232" s="54"/>
      <c r="F232" s="54"/>
      <c r="S232" s="54"/>
      <c r="T232" s="54"/>
      <c r="U232" s="54"/>
      <c r="V232" s="54"/>
    </row>
    <row r="233" spans="1:22" s="53" customFormat="1" x14ac:dyDescent="0.25">
      <c r="A233" s="52"/>
      <c r="C233" s="54"/>
      <c r="F233" s="54"/>
      <c r="S233" s="54"/>
      <c r="T233" s="54"/>
      <c r="U233" s="54"/>
      <c r="V233" s="54"/>
    </row>
    <row r="234" spans="1:22" s="53" customFormat="1" x14ac:dyDescent="0.25">
      <c r="A234" s="52"/>
      <c r="C234" s="54"/>
      <c r="F234" s="54"/>
      <c r="S234" s="54"/>
      <c r="T234" s="54"/>
      <c r="U234" s="54"/>
      <c r="V234" s="54"/>
    </row>
    <row r="235" spans="1:22" s="53" customFormat="1" x14ac:dyDescent="0.25">
      <c r="A235" s="52"/>
      <c r="C235" s="54"/>
      <c r="F235" s="54"/>
      <c r="S235" s="54"/>
      <c r="T235" s="54"/>
      <c r="U235" s="54"/>
      <c r="V235" s="54"/>
    </row>
    <row r="236" spans="1:22" s="53" customFormat="1" x14ac:dyDescent="0.25">
      <c r="A236" s="52"/>
      <c r="C236" s="54"/>
      <c r="F236" s="54"/>
      <c r="S236" s="54"/>
      <c r="T236" s="54"/>
      <c r="U236" s="54"/>
      <c r="V236" s="54"/>
    </row>
    <row r="237" spans="1:22" s="53" customFormat="1" x14ac:dyDescent="0.25">
      <c r="A237" s="52"/>
      <c r="C237" s="54"/>
      <c r="F237" s="54"/>
      <c r="S237" s="54"/>
      <c r="T237" s="54"/>
      <c r="U237" s="54"/>
      <c r="V237" s="54"/>
    </row>
    <row r="238" spans="1:22" s="53" customFormat="1" x14ac:dyDescent="0.25">
      <c r="A238" s="52"/>
      <c r="C238" s="54"/>
      <c r="F238" s="54"/>
      <c r="S238" s="54"/>
      <c r="T238" s="54"/>
      <c r="U238" s="54"/>
      <c r="V238" s="54"/>
    </row>
    <row r="239" spans="1:22" s="53" customFormat="1" x14ac:dyDescent="0.25">
      <c r="A239" s="52"/>
      <c r="C239" s="54"/>
      <c r="F239" s="54"/>
      <c r="S239" s="54"/>
      <c r="T239" s="54"/>
      <c r="U239" s="54"/>
      <c r="V239" s="54"/>
    </row>
    <row r="240" spans="1:22" s="53" customFormat="1" x14ac:dyDescent="0.25">
      <c r="A240" s="52"/>
      <c r="C240" s="54"/>
      <c r="F240" s="54"/>
      <c r="S240" s="54"/>
      <c r="T240" s="54"/>
      <c r="U240" s="54"/>
      <c r="V240" s="54"/>
    </row>
    <row r="241" spans="1:22" s="53" customFormat="1" x14ac:dyDescent="0.25">
      <c r="A241" s="52"/>
      <c r="C241" s="54"/>
      <c r="F241" s="54"/>
      <c r="S241" s="54"/>
      <c r="T241" s="54"/>
      <c r="U241" s="54"/>
      <c r="V241" s="54"/>
    </row>
    <row r="242" spans="1:22" s="53" customFormat="1" x14ac:dyDescent="0.25">
      <c r="A242" s="52"/>
      <c r="C242" s="54"/>
      <c r="F242" s="54"/>
      <c r="S242" s="54"/>
      <c r="T242" s="54"/>
      <c r="U242" s="54"/>
      <c r="V242" s="54"/>
    </row>
    <row r="243" spans="1:22" s="53" customFormat="1" x14ac:dyDescent="0.25">
      <c r="A243" s="52"/>
      <c r="C243" s="54"/>
      <c r="F243" s="54"/>
      <c r="S243" s="54"/>
      <c r="T243" s="54"/>
      <c r="U243" s="54"/>
      <c r="V243" s="54"/>
    </row>
    <row r="244" spans="1:22" s="53" customFormat="1" x14ac:dyDescent="0.25">
      <c r="A244" s="52"/>
      <c r="C244" s="54"/>
      <c r="F244" s="54"/>
      <c r="S244" s="54"/>
      <c r="T244" s="54"/>
      <c r="U244" s="54"/>
      <c r="V244" s="54"/>
    </row>
    <row r="245" spans="1:22" s="53" customFormat="1" x14ac:dyDescent="0.25">
      <c r="A245" s="52"/>
      <c r="C245" s="54"/>
      <c r="F245" s="54"/>
      <c r="S245" s="54"/>
      <c r="T245" s="54"/>
      <c r="U245" s="54"/>
      <c r="V245" s="54"/>
    </row>
    <row r="246" spans="1:22" s="53" customFormat="1" x14ac:dyDescent="0.25">
      <c r="A246" s="52"/>
      <c r="C246" s="54"/>
      <c r="F246" s="54"/>
      <c r="S246" s="54"/>
      <c r="T246" s="54"/>
      <c r="U246" s="54"/>
      <c r="V246" s="54"/>
    </row>
    <row r="247" spans="1:22" s="53" customFormat="1" x14ac:dyDescent="0.25">
      <c r="A247" s="52"/>
      <c r="C247" s="54"/>
      <c r="F247" s="54"/>
      <c r="S247" s="54"/>
      <c r="T247" s="54"/>
      <c r="U247" s="54"/>
      <c r="V247" s="54"/>
    </row>
    <row r="248" spans="1:22" s="53" customFormat="1" x14ac:dyDescent="0.25">
      <c r="A248" s="52"/>
      <c r="C248" s="54"/>
      <c r="F248" s="54"/>
      <c r="S248" s="54"/>
      <c r="T248" s="54"/>
      <c r="U248" s="54"/>
      <c r="V248" s="54"/>
    </row>
    <row r="249" spans="1:22" s="53" customFormat="1" x14ac:dyDescent="0.25">
      <c r="A249" s="52"/>
      <c r="C249" s="54"/>
      <c r="F249" s="54"/>
      <c r="S249" s="54"/>
      <c r="T249" s="54"/>
      <c r="U249" s="54"/>
      <c r="V249" s="54"/>
    </row>
    <row r="250" spans="1:22" s="53" customFormat="1" x14ac:dyDescent="0.25">
      <c r="A250" s="52"/>
      <c r="C250" s="54"/>
      <c r="F250" s="54"/>
      <c r="S250" s="54"/>
      <c r="T250" s="54"/>
      <c r="U250" s="54"/>
      <c r="V250" s="54"/>
    </row>
    <row r="251" spans="1:22" s="53" customFormat="1" x14ac:dyDescent="0.25">
      <c r="A251" s="52"/>
      <c r="C251" s="54"/>
      <c r="F251" s="54"/>
      <c r="S251" s="54"/>
      <c r="T251" s="54"/>
      <c r="U251" s="54"/>
      <c r="V251" s="54"/>
    </row>
    <row r="252" spans="1:22" s="53" customFormat="1" x14ac:dyDescent="0.25">
      <c r="A252" s="52"/>
      <c r="C252" s="54"/>
      <c r="F252" s="54"/>
      <c r="S252" s="54"/>
      <c r="T252" s="54"/>
      <c r="U252" s="54"/>
      <c r="V252" s="54"/>
    </row>
    <row r="253" spans="1:22" s="53" customFormat="1" x14ac:dyDescent="0.25">
      <c r="A253" s="52"/>
      <c r="C253" s="54"/>
      <c r="F253" s="54"/>
      <c r="S253" s="54"/>
      <c r="T253" s="54"/>
      <c r="U253" s="54"/>
      <c r="V253" s="54"/>
    </row>
    <row r="254" spans="1:22" s="53" customFormat="1" x14ac:dyDescent="0.25">
      <c r="A254" s="52"/>
      <c r="C254" s="54"/>
      <c r="F254" s="54"/>
      <c r="S254" s="54"/>
      <c r="T254" s="54"/>
      <c r="U254" s="54"/>
      <c r="V254" s="54"/>
    </row>
    <row r="255" spans="1:22" s="53" customFormat="1" x14ac:dyDescent="0.25">
      <c r="A255" s="52"/>
      <c r="C255" s="54"/>
      <c r="F255" s="54"/>
      <c r="S255" s="54"/>
      <c r="T255" s="54"/>
      <c r="U255" s="54"/>
      <c r="V255" s="54"/>
    </row>
    <row r="256" spans="1:22" s="53" customFormat="1" x14ac:dyDescent="0.25">
      <c r="A256" s="52"/>
      <c r="C256" s="54"/>
      <c r="F256" s="54"/>
      <c r="S256" s="54"/>
      <c r="T256" s="54"/>
      <c r="U256" s="54"/>
      <c r="V256" s="54"/>
    </row>
    <row r="257" spans="1:22" s="53" customFormat="1" x14ac:dyDescent="0.25">
      <c r="A257" s="52"/>
      <c r="C257" s="54"/>
      <c r="F257" s="54"/>
      <c r="S257" s="54"/>
      <c r="T257" s="54"/>
      <c r="U257" s="54"/>
      <c r="V257" s="54"/>
    </row>
    <row r="258" spans="1:22" s="53" customFormat="1" x14ac:dyDescent="0.25">
      <c r="A258" s="52"/>
      <c r="C258" s="54"/>
      <c r="F258" s="54"/>
      <c r="S258" s="54"/>
      <c r="T258" s="54"/>
      <c r="U258" s="54"/>
      <c r="V258" s="54"/>
    </row>
    <row r="259" spans="1:22" s="53" customFormat="1" x14ac:dyDescent="0.25">
      <c r="A259" s="52"/>
      <c r="C259" s="54"/>
      <c r="F259" s="54"/>
      <c r="S259" s="54"/>
      <c r="T259" s="54"/>
      <c r="U259" s="54"/>
      <c r="V259" s="54"/>
    </row>
    <row r="260" spans="1:22" s="53" customFormat="1" x14ac:dyDescent="0.25">
      <c r="A260" s="52"/>
      <c r="C260" s="54"/>
      <c r="F260" s="54"/>
      <c r="S260" s="54"/>
      <c r="T260" s="54"/>
      <c r="U260" s="54"/>
      <c r="V260" s="54"/>
    </row>
    <row r="261" spans="1:22" s="53" customFormat="1" x14ac:dyDescent="0.25">
      <c r="A261" s="52"/>
      <c r="C261" s="54"/>
      <c r="F261" s="54"/>
      <c r="S261" s="54"/>
      <c r="T261" s="54"/>
      <c r="U261" s="54"/>
      <c r="V261" s="54"/>
    </row>
    <row r="262" spans="1:22" s="53" customFormat="1" x14ac:dyDescent="0.25">
      <c r="A262" s="52"/>
      <c r="C262" s="54"/>
      <c r="F262" s="54"/>
      <c r="S262" s="54"/>
      <c r="T262" s="54"/>
      <c r="U262" s="54"/>
      <c r="V262" s="54"/>
    </row>
    <row r="263" spans="1:22" s="53" customFormat="1" x14ac:dyDescent="0.25">
      <c r="A263" s="52"/>
      <c r="C263" s="54"/>
      <c r="F263" s="54"/>
      <c r="S263" s="54"/>
      <c r="T263" s="54"/>
      <c r="U263" s="54"/>
      <c r="V263" s="54"/>
    </row>
    <row r="264" spans="1:22" s="53" customFormat="1" x14ac:dyDescent="0.25">
      <c r="A264" s="52"/>
      <c r="C264" s="54"/>
      <c r="F264" s="54"/>
      <c r="S264" s="54"/>
      <c r="T264" s="54"/>
      <c r="U264" s="54"/>
      <c r="V264" s="54"/>
    </row>
    <row r="265" spans="1:22" s="53" customFormat="1" x14ac:dyDescent="0.25">
      <c r="A265" s="52"/>
      <c r="C265" s="54"/>
      <c r="F265" s="54"/>
      <c r="S265" s="54"/>
      <c r="T265" s="54"/>
      <c r="U265" s="54"/>
      <c r="V265" s="54"/>
    </row>
    <row r="266" spans="1:22" s="53" customFormat="1" x14ac:dyDescent="0.25">
      <c r="A266" s="52"/>
      <c r="C266" s="54"/>
      <c r="F266" s="54"/>
      <c r="S266" s="54"/>
      <c r="T266" s="54"/>
      <c r="U266" s="54"/>
      <c r="V266" s="54"/>
    </row>
    <row r="267" spans="1:22" s="53" customFormat="1" x14ac:dyDescent="0.25">
      <c r="A267" s="52"/>
      <c r="C267" s="54"/>
      <c r="F267" s="54"/>
      <c r="S267" s="54"/>
      <c r="T267" s="54"/>
      <c r="U267" s="54"/>
      <c r="V267" s="54"/>
    </row>
    <row r="268" spans="1:22" s="53" customFormat="1" x14ac:dyDescent="0.25">
      <c r="A268" s="52"/>
      <c r="C268" s="54"/>
      <c r="F268" s="54"/>
      <c r="S268" s="54"/>
      <c r="T268" s="54"/>
      <c r="U268" s="54"/>
      <c r="V268" s="54"/>
    </row>
    <row r="269" spans="1:22" s="53" customFormat="1" x14ac:dyDescent="0.25">
      <c r="A269" s="52"/>
      <c r="C269" s="54"/>
      <c r="F269" s="54"/>
      <c r="S269" s="54"/>
      <c r="T269" s="54"/>
      <c r="U269" s="54"/>
      <c r="V269" s="54"/>
    </row>
    <row r="270" spans="1:22" s="53" customFormat="1" x14ac:dyDescent="0.25">
      <c r="A270" s="52"/>
      <c r="C270" s="54"/>
      <c r="F270" s="54"/>
      <c r="S270" s="54"/>
      <c r="T270" s="54"/>
      <c r="U270" s="54"/>
      <c r="V270" s="54"/>
    </row>
    <row r="271" spans="1:22" s="53" customFormat="1" x14ac:dyDescent="0.25">
      <c r="A271" s="52"/>
      <c r="C271" s="54"/>
      <c r="F271" s="54"/>
      <c r="S271" s="54"/>
      <c r="T271" s="54"/>
      <c r="U271" s="54"/>
      <c r="V271" s="54"/>
    </row>
    <row r="272" spans="1:22" s="53" customFormat="1" x14ac:dyDescent="0.25">
      <c r="A272" s="52"/>
      <c r="C272" s="54"/>
      <c r="F272" s="54"/>
      <c r="S272" s="54"/>
      <c r="T272" s="54"/>
      <c r="U272" s="54"/>
      <c r="V272" s="54"/>
    </row>
    <row r="273" spans="1:22" s="53" customFormat="1" x14ac:dyDescent="0.25">
      <c r="A273" s="52"/>
      <c r="C273" s="54"/>
      <c r="F273" s="54"/>
      <c r="S273" s="54"/>
      <c r="T273" s="54"/>
      <c r="U273" s="54"/>
      <c r="V273" s="54"/>
    </row>
    <row r="274" spans="1:22" s="53" customFormat="1" x14ac:dyDescent="0.25">
      <c r="A274" s="52"/>
      <c r="C274" s="54"/>
      <c r="F274" s="54"/>
      <c r="S274" s="54"/>
      <c r="T274" s="54"/>
      <c r="U274" s="54"/>
      <c r="V274" s="54"/>
    </row>
    <row r="275" spans="1:22" s="53" customFormat="1" x14ac:dyDescent="0.25">
      <c r="A275" s="52"/>
      <c r="C275" s="54"/>
      <c r="F275" s="54"/>
      <c r="S275" s="54"/>
      <c r="T275" s="54"/>
      <c r="U275" s="54"/>
      <c r="V275" s="54"/>
    </row>
    <row r="276" spans="1:22" s="53" customFormat="1" x14ac:dyDescent="0.25">
      <c r="A276" s="52"/>
      <c r="C276" s="54"/>
      <c r="F276" s="54"/>
      <c r="S276" s="54"/>
      <c r="T276" s="54"/>
      <c r="U276" s="54"/>
      <c r="V276" s="54"/>
    </row>
    <row r="277" spans="1:22" s="53" customFormat="1" x14ac:dyDescent="0.25">
      <c r="A277" s="52"/>
      <c r="C277" s="54"/>
      <c r="F277" s="54"/>
      <c r="S277" s="54"/>
      <c r="T277" s="54"/>
      <c r="U277" s="54"/>
      <c r="V277" s="54"/>
    </row>
    <row r="278" spans="1:22" s="53" customFormat="1" x14ac:dyDescent="0.25">
      <c r="A278" s="52"/>
      <c r="C278" s="54"/>
      <c r="F278" s="54"/>
      <c r="S278" s="54"/>
      <c r="T278" s="54"/>
      <c r="U278" s="54"/>
      <c r="V278" s="54"/>
    </row>
    <row r="279" spans="1:22" s="53" customFormat="1" x14ac:dyDescent="0.25">
      <c r="A279" s="52"/>
      <c r="C279" s="54"/>
      <c r="F279" s="54"/>
      <c r="S279" s="54"/>
      <c r="T279" s="54"/>
      <c r="U279" s="54"/>
      <c r="V279" s="54"/>
    </row>
    <row r="280" spans="1:22" s="53" customFormat="1" x14ac:dyDescent="0.25">
      <c r="A280" s="52"/>
      <c r="C280" s="54"/>
      <c r="F280" s="54"/>
      <c r="S280" s="54"/>
      <c r="T280" s="54"/>
      <c r="U280" s="54"/>
      <c r="V280" s="54"/>
    </row>
    <row r="281" spans="1:22" s="53" customFormat="1" x14ac:dyDescent="0.25">
      <c r="A281" s="52"/>
      <c r="C281" s="54"/>
      <c r="F281" s="54"/>
      <c r="S281" s="54"/>
      <c r="T281" s="54"/>
      <c r="U281" s="54"/>
      <c r="V281" s="54"/>
    </row>
    <row r="282" spans="1:22" s="53" customFormat="1" x14ac:dyDescent="0.25">
      <c r="A282" s="52"/>
      <c r="C282" s="54"/>
      <c r="F282" s="54"/>
      <c r="S282" s="54"/>
      <c r="T282" s="54"/>
      <c r="U282" s="54"/>
      <c r="V282" s="54"/>
    </row>
    <row r="283" spans="1:22" s="53" customFormat="1" x14ac:dyDescent="0.25">
      <c r="A283" s="52"/>
      <c r="C283" s="54"/>
      <c r="F283" s="54"/>
      <c r="S283" s="54"/>
      <c r="T283" s="54"/>
      <c r="U283" s="54"/>
      <c r="V283" s="54"/>
    </row>
    <row r="284" spans="1:22" s="53" customFormat="1" x14ac:dyDescent="0.25">
      <c r="A284" s="52"/>
      <c r="C284" s="54"/>
      <c r="F284" s="54"/>
      <c r="S284" s="54"/>
      <c r="T284" s="54"/>
      <c r="U284" s="54"/>
      <c r="V284" s="54"/>
    </row>
    <row r="285" spans="1:22" s="53" customFormat="1" x14ac:dyDescent="0.25">
      <c r="A285" s="52"/>
      <c r="C285" s="54"/>
      <c r="F285" s="54"/>
      <c r="S285" s="54"/>
      <c r="T285" s="54"/>
      <c r="U285" s="54"/>
      <c r="V285" s="54"/>
    </row>
    <row r="286" spans="1:22" s="53" customFormat="1" x14ac:dyDescent="0.25">
      <c r="A286" s="52"/>
      <c r="C286" s="54"/>
      <c r="F286" s="54"/>
      <c r="S286" s="54"/>
      <c r="T286" s="54"/>
      <c r="U286" s="54"/>
      <c r="V286" s="54"/>
    </row>
    <row r="287" spans="1:22" s="53" customFormat="1" x14ac:dyDescent="0.25">
      <c r="A287" s="52"/>
      <c r="C287" s="54"/>
      <c r="F287" s="54"/>
      <c r="S287" s="54"/>
      <c r="T287" s="54"/>
      <c r="U287" s="54"/>
      <c r="V287" s="54"/>
    </row>
    <row r="288" spans="1:22" s="53" customFormat="1" x14ac:dyDescent="0.25">
      <c r="A288" s="52"/>
      <c r="C288" s="54"/>
      <c r="F288" s="54"/>
      <c r="S288" s="54"/>
      <c r="T288" s="54"/>
      <c r="U288" s="54"/>
      <c r="V288" s="54"/>
    </row>
    <row r="289" spans="1:22" s="53" customFormat="1" x14ac:dyDescent="0.25">
      <c r="A289" s="52"/>
      <c r="C289" s="54"/>
      <c r="F289" s="54"/>
      <c r="S289" s="54"/>
      <c r="T289" s="54"/>
      <c r="U289" s="54"/>
      <c r="V289" s="54"/>
    </row>
    <row r="290" spans="1:22" s="53" customFormat="1" x14ac:dyDescent="0.25">
      <c r="A290" s="52"/>
      <c r="C290" s="54"/>
      <c r="F290" s="54"/>
      <c r="S290" s="54"/>
      <c r="T290" s="54"/>
      <c r="U290" s="54"/>
      <c r="V290" s="54"/>
    </row>
    <row r="291" spans="1:22" s="53" customFormat="1" x14ac:dyDescent="0.25">
      <c r="A291" s="52"/>
      <c r="C291" s="54"/>
      <c r="F291" s="54"/>
      <c r="S291" s="54"/>
      <c r="T291" s="54"/>
      <c r="U291" s="54"/>
      <c r="V291" s="54"/>
    </row>
    <row r="292" spans="1:22" s="53" customFormat="1" x14ac:dyDescent="0.25">
      <c r="A292" s="52"/>
      <c r="C292" s="54"/>
      <c r="F292" s="54"/>
      <c r="S292" s="54"/>
      <c r="T292" s="54"/>
      <c r="U292" s="54"/>
      <c r="V292" s="54"/>
    </row>
    <row r="293" spans="1:22" s="53" customFormat="1" x14ac:dyDescent="0.25">
      <c r="A293" s="52"/>
      <c r="C293" s="54"/>
      <c r="F293" s="54"/>
      <c r="S293" s="54"/>
      <c r="T293" s="54"/>
      <c r="U293" s="54"/>
      <c r="V293" s="54"/>
    </row>
    <row r="294" spans="1:22" s="53" customFormat="1" x14ac:dyDescent="0.25">
      <c r="A294" s="52"/>
      <c r="C294" s="54"/>
      <c r="F294" s="54"/>
      <c r="S294" s="54"/>
      <c r="T294" s="54"/>
      <c r="U294" s="54"/>
      <c r="V294" s="54"/>
    </row>
    <row r="295" spans="1:22" s="53" customFormat="1" x14ac:dyDescent="0.25">
      <c r="A295" s="52"/>
      <c r="C295" s="54"/>
      <c r="F295" s="54"/>
      <c r="S295" s="54"/>
      <c r="T295" s="54"/>
      <c r="U295" s="54"/>
      <c r="V295" s="54"/>
    </row>
    <row r="296" spans="1:22" s="53" customFormat="1" x14ac:dyDescent="0.25">
      <c r="A296" s="52"/>
      <c r="C296" s="54"/>
      <c r="F296" s="54"/>
      <c r="S296" s="54"/>
      <c r="T296" s="54"/>
      <c r="U296" s="54"/>
      <c r="V296" s="54"/>
    </row>
    <row r="297" spans="1:22" s="53" customFormat="1" x14ac:dyDescent="0.25">
      <c r="A297" s="52"/>
      <c r="C297" s="54"/>
      <c r="F297" s="54"/>
      <c r="S297" s="54"/>
      <c r="T297" s="54"/>
      <c r="U297" s="54"/>
      <c r="V297" s="54"/>
    </row>
    <row r="298" spans="1:22" s="53" customFormat="1" x14ac:dyDescent="0.25">
      <c r="A298" s="52"/>
      <c r="C298" s="54"/>
      <c r="F298" s="54"/>
      <c r="S298" s="54"/>
      <c r="T298" s="54"/>
      <c r="U298" s="54"/>
      <c r="V298" s="54"/>
    </row>
    <row r="299" spans="1:22" s="53" customFormat="1" x14ac:dyDescent="0.25">
      <c r="A299" s="52"/>
      <c r="C299" s="54"/>
      <c r="F299" s="54"/>
      <c r="S299" s="54"/>
      <c r="T299" s="54"/>
      <c r="U299" s="54"/>
      <c r="V299" s="54"/>
    </row>
    <row r="300" spans="1:22" s="53" customFormat="1" x14ac:dyDescent="0.25">
      <c r="A300" s="52"/>
      <c r="C300" s="54"/>
      <c r="F300" s="54"/>
      <c r="S300" s="54"/>
      <c r="T300" s="54"/>
      <c r="U300" s="54"/>
      <c r="V300" s="54"/>
    </row>
    <row r="301" spans="1:22" s="53" customFormat="1" x14ac:dyDescent="0.25">
      <c r="A301" s="52"/>
      <c r="C301" s="54"/>
      <c r="F301" s="54"/>
      <c r="S301" s="54"/>
      <c r="T301" s="54"/>
      <c r="U301" s="54"/>
      <c r="V301" s="54"/>
    </row>
    <row r="302" spans="1:22" s="53" customFormat="1" x14ac:dyDescent="0.25">
      <c r="A302" s="52"/>
      <c r="C302" s="54"/>
      <c r="F302" s="54"/>
      <c r="S302" s="54"/>
      <c r="T302" s="54"/>
      <c r="U302" s="54"/>
      <c r="V302" s="54"/>
    </row>
    <row r="303" spans="1:22" s="53" customFormat="1" x14ac:dyDescent="0.25">
      <c r="A303" s="52"/>
      <c r="C303" s="54"/>
      <c r="F303" s="54"/>
      <c r="S303" s="54"/>
      <c r="T303" s="54"/>
      <c r="U303" s="54"/>
      <c r="V303" s="54"/>
    </row>
    <row r="304" spans="1:22" s="53" customFormat="1" x14ac:dyDescent="0.25">
      <c r="A304" s="52"/>
      <c r="C304" s="54"/>
      <c r="F304" s="54"/>
      <c r="S304" s="54"/>
      <c r="T304" s="54"/>
      <c r="U304" s="54"/>
      <c r="V304" s="54"/>
    </row>
    <row r="305" spans="1:22" s="53" customFormat="1" x14ac:dyDescent="0.25">
      <c r="A305" s="52"/>
      <c r="C305" s="54"/>
      <c r="F305" s="54"/>
      <c r="S305" s="54"/>
      <c r="T305" s="54"/>
      <c r="U305" s="54"/>
      <c r="V305" s="54"/>
    </row>
    <row r="306" spans="1:22" s="53" customFormat="1" x14ac:dyDescent="0.25">
      <c r="A306" s="52"/>
      <c r="C306" s="54"/>
      <c r="F306" s="54"/>
      <c r="S306" s="54"/>
      <c r="T306" s="54"/>
      <c r="U306" s="54"/>
      <c r="V306" s="54"/>
    </row>
    <row r="307" spans="1:22" s="53" customFormat="1" x14ac:dyDescent="0.25">
      <c r="A307" s="52"/>
      <c r="C307" s="54"/>
      <c r="F307" s="54"/>
      <c r="S307" s="54"/>
      <c r="T307" s="54"/>
      <c r="U307" s="54"/>
      <c r="V307" s="54"/>
    </row>
    <row r="308" spans="1:22" s="53" customFormat="1" x14ac:dyDescent="0.25">
      <c r="A308" s="52"/>
      <c r="C308" s="54"/>
      <c r="F308" s="54"/>
      <c r="S308" s="54"/>
      <c r="T308" s="54"/>
      <c r="U308" s="54"/>
      <c r="V308" s="54"/>
    </row>
    <row r="309" spans="1:22" s="53" customFormat="1" x14ac:dyDescent="0.25">
      <c r="A309" s="52"/>
      <c r="C309" s="54"/>
      <c r="F309" s="54"/>
      <c r="S309" s="54"/>
      <c r="T309" s="54"/>
      <c r="U309" s="54"/>
      <c r="V309" s="54"/>
    </row>
    <row r="310" spans="1:22" s="53" customFormat="1" x14ac:dyDescent="0.25">
      <c r="A310" s="52"/>
      <c r="C310" s="54"/>
      <c r="F310" s="54"/>
      <c r="S310" s="54"/>
      <c r="T310" s="54"/>
      <c r="U310" s="54"/>
      <c r="V310" s="54"/>
    </row>
    <row r="311" spans="1:22" s="53" customFormat="1" x14ac:dyDescent="0.25">
      <c r="A311" s="52"/>
      <c r="C311" s="54"/>
      <c r="F311" s="54"/>
      <c r="S311" s="54"/>
      <c r="T311" s="54"/>
      <c r="U311" s="54"/>
      <c r="V311" s="54"/>
    </row>
    <row r="312" spans="1:22" s="53" customFormat="1" x14ac:dyDescent="0.25">
      <c r="A312" s="52"/>
      <c r="C312" s="54"/>
      <c r="F312" s="54"/>
      <c r="S312" s="54"/>
      <c r="T312" s="54"/>
      <c r="U312" s="54"/>
      <c r="V312" s="54"/>
    </row>
    <row r="313" spans="1:22" s="53" customFormat="1" x14ac:dyDescent="0.25">
      <c r="A313" s="52"/>
      <c r="C313" s="54"/>
      <c r="F313" s="54"/>
      <c r="S313" s="54"/>
      <c r="T313" s="54"/>
      <c r="U313" s="54"/>
      <c r="V313" s="54"/>
    </row>
    <row r="314" spans="1:22" s="53" customFormat="1" x14ac:dyDescent="0.25">
      <c r="A314" s="52"/>
      <c r="C314" s="54"/>
      <c r="F314" s="54"/>
      <c r="S314" s="54"/>
      <c r="T314" s="54"/>
      <c r="U314" s="54"/>
      <c r="V314" s="54"/>
    </row>
    <row r="315" spans="1:22" s="53" customFormat="1" x14ac:dyDescent="0.25">
      <c r="A315" s="52"/>
      <c r="C315" s="54"/>
      <c r="F315" s="54"/>
      <c r="S315" s="54"/>
      <c r="T315" s="54"/>
      <c r="U315" s="54"/>
      <c r="V315" s="54"/>
    </row>
    <row r="316" spans="1:22" s="53" customFormat="1" x14ac:dyDescent="0.25">
      <c r="A316" s="52"/>
      <c r="C316" s="54"/>
      <c r="F316" s="54"/>
      <c r="S316" s="54"/>
      <c r="T316" s="54"/>
      <c r="U316" s="54"/>
      <c r="V316" s="54"/>
    </row>
    <row r="317" spans="1:22" s="53" customFormat="1" x14ac:dyDescent="0.25">
      <c r="A317" s="52"/>
      <c r="C317" s="54"/>
      <c r="F317" s="54"/>
      <c r="S317" s="54"/>
      <c r="T317" s="54"/>
      <c r="U317" s="54"/>
      <c r="V317" s="54"/>
    </row>
    <row r="318" spans="1:22" s="53" customFormat="1" x14ac:dyDescent="0.25">
      <c r="A318" s="52"/>
      <c r="C318" s="54"/>
      <c r="F318" s="54"/>
      <c r="S318" s="54"/>
      <c r="T318" s="54"/>
      <c r="U318" s="54"/>
      <c r="V318" s="54"/>
    </row>
    <row r="319" spans="1:22" s="53" customFormat="1" x14ac:dyDescent="0.25">
      <c r="A319" s="52"/>
      <c r="C319" s="54"/>
      <c r="F319" s="54"/>
      <c r="S319" s="54"/>
      <c r="T319" s="54"/>
      <c r="U319" s="54"/>
      <c r="V319" s="54"/>
    </row>
    <row r="320" spans="1:22" s="53" customFormat="1" x14ac:dyDescent="0.25">
      <c r="A320" s="52"/>
      <c r="C320" s="54"/>
      <c r="F320" s="54"/>
      <c r="S320" s="54"/>
      <c r="T320" s="54"/>
      <c r="U320" s="54"/>
      <c r="V320" s="54"/>
    </row>
    <row r="321" spans="1:22" s="53" customFormat="1" x14ac:dyDescent="0.25">
      <c r="A321" s="52"/>
      <c r="C321" s="54"/>
      <c r="F321" s="54"/>
      <c r="S321" s="54"/>
      <c r="T321" s="54"/>
      <c r="U321" s="54"/>
      <c r="V321" s="54"/>
    </row>
    <row r="322" spans="1:22" s="53" customFormat="1" x14ac:dyDescent="0.25">
      <c r="A322" s="52"/>
      <c r="C322" s="54"/>
      <c r="F322" s="54"/>
      <c r="S322" s="54"/>
      <c r="T322" s="54"/>
      <c r="U322" s="54"/>
      <c r="V322" s="54"/>
    </row>
    <row r="323" spans="1:22" s="53" customFormat="1" x14ac:dyDescent="0.25">
      <c r="A323" s="52"/>
      <c r="C323" s="54"/>
      <c r="F323" s="54"/>
      <c r="S323" s="54"/>
      <c r="T323" s="54"/>
      <c r="U323" s="54"/>
      <c r="V323" s="54"/>
    </row>
    <row r="324" spans="1:22" s="53" customFormat="1" x14ac:dyDescent="0.25">
      <c r="A324" s="52"/>
      <c r="C324" s="54"/>
      <c r="F324" s="54"/>
      <c r="S324" s="54"/>
      <c r="T324" s="54"/>
      <c r="U324" s="54"/>
      <c r="V324" s="54"/>
    </row>
    <row r="325" spans="1:22" s="53" customFormat="1" x14ac:dyDescent="0.25">
      <c r="A325" s="52"/>
      <c r="C325" s="54"/>
      <c r="F325" s="54"/>
      <c r="S325" s="54"/>
      <c r="T325" s="54"/>
      <c r="U325" s="54"/>
      <c r="V325" s="54"/>
    </row>
    <row r="326" spans="1:22" s="53" customFormat="1" x14ac:dyDescent="0.25">
      <c r="A326" s="52"/>
      <c r="C326" s="54"/>
      <c r="F326" s="54"/>
      <c r="S326" s="54"/>
      <c r="T326" s="54"/>
      <c r="U326" s="54"/>
      <c r="V326" s="54"/>
    </row>
    <row r="327" spans="1:22" s="53" customFormat="1" x14ac:dyDescent="0.25">
      <c r="A327" s="52"/>
      <c r="C327" s="54"/>
      <c r="F327" s="54"/>
      <c r="S327" s="54"/>
      <c r="T327" s="54"/>
      <c r="U327" s="54"/>
      <c r="V327" s="54"/>
    </row>
    <row r="328" spans="1:22" s="53" customFormat="1" x14ac:dyDescent="0.25">
      <c r="A328" s="52"/>
      <c r="C328" s="54"/>
      <c r="F328" s="54"/>
      <c r="S328" s="54"/>
      <c r="T328" s="54"/>
      <c r="U328" s="54"/>
      <c r="V328" s="54"/>
    </row>
    <row r="329" spans="1:22" s="53" customFormat="1" x14ac:dyDescent="0.25">
      <c r="A329" s="52"/>
      <c r="C329" s="54"/>
      <c r="F329" s="54"/>
      <c r="S329" s="54"/>
      <c r="T329" s="54"/>
      <c r="U329" s="54"/>
      <c r="V329" s="54"/>
    </row>
    <row r="330" spans="1:22" s="53" customFormat="1" x14ac:dyDescent="0.25">
      <c r="A330" s="52"/>
      <c r="C330" s="54"/>
      <c r="F330" s="54"/>
      <c r="S330" s="54"/>
      <c r="T330" s="54"/>
      <c r="U330" s="54"/>
      <c r="V330" s="54"/>
    </row>
    <row r="331" spans="1:22" s="53" customFormat="1" x14ac:dyDescent="0.25">
      <c r="A331" s="52"/>
      <c r="C331" s="54"/>
      <c r="F331" s="54"/>
      <c r="S331" s="54"/>
      <c r="T331" s="54"/>
      <c r="U331" s="54"/>
      <c r="V331" s="54"/>
    </row>
    <row r="332" spans="1:22" s="53" customFormat="1" x14ac:dyDescent="0.25">
      <c r="A332" s="52"/>
      <c r="C332" s="54"/>
      <c r="F332" s="54"/>
      <c r="S332" s="54"/>
      <c r="T332" s="54"/>
      <c r="U332" s="54"/>
      <c r="V332" s="54"/>
    </row>
    <row r="333" spans="1:22" s="53" customFormat="1" x14ac:dyDescent="0.25">
      <c r="A333" s="52"/>
      <c r="C333" s="54"/>
      <c r="F333" s="54"/>
      <c r="S333" s="54"/>
      <c r="T333" s="54"/>
      <c r="U333" s="54"/>
      <c r="V333" s="54"/>
    </row>
    <row r="334" spans="1:22" s="53" customFormat="1" x14ac:dyDescent="0.25">
      <c r="A334" s="52"/>
      <c r="C334" s="54"/>
      <c r="F334" s="54"/>
      <c r="S334" s="54"/>
      <c r="T334" s="54"/>
      <c r="U334" s="54"/>
      <c r="V334" s="54"/>
    </row>
    <row r="335" spans="1:22" s="53" customFormat="1" x14ac:dyDescent="0.25">
      <c r="A335" s="52"/>
      <c r="C335" s="54"/>
      <c r="F335" s="54"/>
      <c r="S335" s="54"/>
      <c r="T335" s="54"/>
      <c r="U335" s="54"/>
      <c r="V335" s="54"/>
    </row>
    <row r="336" spans="1:22" s="53" customFormat="1" x14ac:dyDescent="0.25">
      <c r="A336" s="52"/>
      <c r="C336" s="54"/>
      <c r="F336" s="54"/>
      <c r="S336" s="54"/>
      <c r="T336" s="54"/>
      <c r="U336" s="54"/>
      <c r="V336" s="54"/>
    </row>
    <row r="337" spans="1:22" s="53" customFormat="1" x14ac:dyDescent="0.25">
      <c r="A337" s="52"/>
      <c r="C337" s="54"/>
      <c r="F337" s="54"/>
      <c r="S337" s="54"/>
      <c r="T337" s="54"/>
      <c r="U337" s="54"/>
      <c r="V337" s="54"/>
    </row>
    <row r="338" spans="1:22" s="53" customFormat="1" x14ac:dyDescent="0.25">
      <c r="A338" s="52"/>
      <c r="C338" s="54"/>
      <c r="F338" s="54"/>
      <c r="S338" s="54"/>
      <c r="T338" s="54"/>
      <c r="U338" s="54"/>
      <c r="V338" s="54"/>
    </row>
    <row r="339" spans="1:22" s="53" customFormat="1" x14ac:dyDescent="0.25">
      <c r="A339" s="52"/>
      <c r="C339" s="54"/>
      <c r="F339" s="54"/>
      <c r="S339" s="54"/>
      <c r="T339" s="54"/>
      <c r="U339" s="54"/>
      <c r="V339" s="54"/>
    </row>
    <row r="340" spans="1:22" s="53" customFormat="1" x14ac:dyDescent="0.25">
      <c r="A340" s="52"/>
      <c r="C340" s="54"/>
      <c r="F340" s="54"/>
      <c r="S340" s="54"/>
      <c r="T340" s="54"/>
      <c r="U340" s="54"/>
      <c r="V340" s="54"/>
    </row>
    <row r="341" spans="1:22" s="53" customFormat="1" x14ac:dyDescent="0.25">
      <c r="A341" s="52"/>
      <c r="C341" s="54"/>
      <c r="F341" s="54"/>
      <c r="S341" s="54"/>
      <c r="T341" s="54"/>
      <c r="U341" s="54"/>
      <c r="V341" s="54"/>
    </row>
    <row r="342" spans="1:22" s="53" customFormat="1" x14ac:dyDescent="0.25">
      <c r="A342" s="52"/>
      <c r="C342" s="54"/>
      <c r="F342" s="54"/>
      <c r="S342" s="54"/>
      <c r="T342" s="54"/>
      <c r="U342" s="54"/>
      <c r="V342" s="54"/>
    </row>
    <row r="343" spans="1:22" s="53" customFormat="1" x14ac:dyDescent="0.25">
      <c r="A343" s="52"/>
      <c r="C343" s="54"/>
      <c r="F343" s="54"/>
      <c r="S343" s="54"/>
      <c r="T343" s="54"/>
      <c r="U343" s="54"/>
      <c r="V343" s="54"/>
    </row>
    <row r="344" spans="1:22" s="53" customFormat="1" x14ac:dyDescent="0.25">
      <c r="A344" s="52"/>
      <c r="C344" s="54"/>
      <c r="F344" s="54"/>
      <c r="S344" s="54"/>
      <c r="T344" s="54"/>
      <c r="U344" s="54"/>
      <c r="V344" s="54"/>
    </row>
    <row r="345" spans="1:22" s="53" customFormat="1" x14ac:dyDescent="0.25">
      <c r="A345" s="52"/>
      <c r="C345" s="54"/>
      <c r="F345" s="54"/>
      <c r="S345" s="54"/>
      <c r="T345" s="54"/>
      <c r="U345" s="54"/>
      <c r="V345" s="54"/>
    </row>
    <row r="346" spans="1:22" s="53" customFormat="1" x14ac:dyDescent="0.25">
      <c r="A346" s="52"/>
      <c r="C346" s="54"/>
      <c r="F346" s="54"/>
      <c r="S346" s="54"/>
      <c r="T346" s="54"/>
      <c r="U346" s="54"/>
      <c r="V346" s="54"/>
    </row>
    <row r="347" spans="1:22" s="53" customFormat="1" x14ac:dyDescent="0.25">
      <c r="A347" s="52"/>
      <c r="C347" s="54"/>
      <c r="F347" s="54"/>
      <c r="S347" s="54"/>
      <c r="T347" s="54"/>
      <c r="U347" s="54"/>
      <c r="V347" s="54"/>
    </row>
    <row r="348" spans="1:22" s="53" customFormat="1" x14ac:dyDescent="0.25">
      <c r="A348" s="52"/>
      <c r="C348" s="54"/>
      <c r="F348" s="54"/>
      <c r="S348" s="54"/>
      <c r="T348" s="54"/>
      <c r="U348" s="54"/>
      <c r="V348" s="54"/>
    </row>
    <row r="349" spans="1:22" s="53" customFormat="1" x14ac:dyDescent="0.25">
      <c r="A349" s="52"/>
      <c r="C349" s="54"/>
      <c r="F349" s="54"/>
      <c r="S349" s="54"/>
      <c r="T349" s="54"/>
      <c r="U349" s="54"/>
      <c r="V349" s="54"/>
    </row>
    <row r="350" spans="1:22" s="53" customFormat="1" x14ac:dyDescent="0.25">
      <c r="A350" s="52"/>
      <c r="C350" s="54"/>
      <c r="F350" s="54"/>
      <c r="S350" s="54"/>
      <c r="T350" s="54"/>
      <c r="U350" s="54"/>
      <c r="V350" s="54"/>
    </row>
    <row r="351" spans="1:22" s="53" customFormat="1" x14ac:dyDescent="0.25">
      <c r="A351" s="52"/>
      <c r="C351" s="54"/>
      <c r="F351" s="54"/>
      <c r="S351" s="54"/>
      <c r="T351" s="54"/>
      <c r="U351" s="54"/>
      <c r="V351" s="54"/>
    </row>
    <row r="352" spans="1:22" s="53" customFormat="1" x14ac:dyDescent="0.25">
      <c r="A352" s="52"/>
      <c r="C352" s="54"/>
      <c r="F352" s="54"/>
      <c r="S352" s="54"/>
      <c r="T352" s="54"/>
      <c r="U352" s="54"/>
      <c r="V352" s="54"/>
    </row>
    <row r="353" spans="1:22" s="53" customFormat="1" x14ac:dyDescent="0.25">
      <c r="A353" s="52"/>
      <c r="C353" s="54"/>
      <c r="F353" s="54"/>
      <c r="S353" s="54"/>
      <c r="T353" s="54"/>
      <c r="U353" s="54"/>
      <c r="V353" s="54"/>
    </row>
    <row r="354" spans="1:22" s="53" customFormat="1" x14ac:dyDescent="0.25">
      <c r="A354" s="52"/>
      <c r="C354" s="54"/>
      <c r="F354" s="54"/>
      <c r="S354" s="54"/>
      <c r="T354" s="54"/>
      <c r="U354" s="54"/>
      <c r="V354" s="54"/>
    </row>
    <row r="355" spans="1:22" s="53" customFormat="1" x14ac:dyDescent="0.25">
      <c r="A355" s="52"/>
      <c r="C355" s="54"/>
      <c r="F355" s="54"/>
      <c r="S355" s="54"/>
      <c r="T355" s="54"/>
      <c r="U355" s="54"/>
      <c r="V355" s="54"/>
    </row>
    <row r="356" spans="1:22" s="53" customFormat="1" x14ac:dyDescent="0.25">
      <c r="A356" s="52"/>
      <c r="C356" s="54"/>
      <c r="F356" s="54"/>
      <c r="S356" s="54"/>
      <c r="T356" s="54"/>
      <c r="U356" s="54"/>
      <c r="V356" s="54"/>
    </row>
    <row r="357" spans="1:22" s="53" customFormat="1" x14ac:dyDescent="0.25">
      <c r="A357" s="52"/>
      <c r="C357" s="54"/>
      <c r="F357" s="54"/>
      <c r="S357" s="54"/>
      <c r="T357" s="54"/>
      <c r="U357" s="54"/>
      <c r="V357" s="54"/>
    </row>
    <row r="358" spans="1:22" s="53" customFormat="1" x14ac:dyDescent="0.25">
      <c r="A358" s="52"/>
      <c r="C358" s="54"/>
      <c r="F358" s="54"/>
      <c r="S358" s="54"/>
      <c r="T358" s="54"/>
      <c r="U358" s="54"/>
      <c r="V358" s="54"/>
    </row>
    <row r="359" spans="1:22" s="53" customFormat="1" x14ac:dyDescent="0.25">
      <c r="A359" s="52"/>
      <c r="C359" s="54"/>
      <c r="F359" s="54"/>
      <c r="S359" s="54"/>
      <c r="T359" s="54"/>
      <c r="U359" s="54"/>
      <c r="V359" s="54"/>
    </row>
    <row r="360" spans="1:22" s="53" customFormat="1" x14ac:dyDescent="0.25">
      <c r="A360" s="52"/>
      <c r="C360" s="54"/>
      <c r="F360" s="54"/>
      <c r="S360" s="54"/>
      <c r="T360" s="54"/>
      <c r="U360" s="54"/>
      <c r="V360" s="54"/>
    </row>
    <row r="361" spans="1:22" s="53" customFormat="1" x14ac:dyDescent="0.25">
      <c r="A361" s="52"/>
      <c r="C361" s="54"/>
      <c r="F361" s="54"/>
      <c r="S361" s="54"/>
      <c r="T361" s="54"/>
      <c r="U361" s="54"/>
      <c r="V361" s="54"/>
    </row>
    <row r="362" spans="1:22" s="53" customFormat="1" x14ac:dyDescent="0.25">
      <c r="A362" s="52"/>
      <c r="C362" s="54"/>
      <c r="F362" s="54"/>
      <c r="S362" s="54"/>
      <c r="T362" s="54"/>
      <c r="U362" s="54"/>
      <c r="V362" s="54"/>
    </row>
    <row r="363" spans="1:22" s="53" customFormat="1" x14ac:dyDescent="0.25">
      <c r="A363" s="52"/>
      <c r="C363" s="54"/>
      <c r="F363" s="54"/>
      <c r="S363" s="54"/>
      <c r="T363" s="54"/>
      <c r="U363" s="54"/>
      <c r="V363" s="54"/>
    </row>
    <row r="364" spans="1:22" s="53" customFormat="1" x14ac:dyDescent="0.25">
      <c r="A364" s="52"/>
      <c r="C364" s="54"/>
      <c r="F364" s="54"/>
      <c r="S364" s="54"/>
      <c r="T364" s="54"/>
      <c r="U364" s="54"/>
      <c r="V364" s="54"/>
    </row>
    <row r="365" spans="1:22" s="53" customFormat="1" x14ac:dyDescent="0.25">
      <c r="A365" s="52"/>
      <c r="C365" s="54"/>
      <c r="F365" s="54"/>
      <c r="S365" s="54"/>
      <c r="T365" s="54"/>
      <c r="U365" s="54"/>
      <c r="V365" s="54"/>
    </row>
    <row r="366" spans="1:22" s="53" customFormat="1" x14ac:dyDescent="0.25">
      <c r="A366" s="52"/>
      <c r="C366" s="54"/>
      <c r="F366" s="54"/>
      <c r="S366" s="54"/>
      <c r="T366" s="54"/>
      <c r="U366" s="54"/>
      <c r="V366" s="54"/>
    </row>
    <row r="367" spans="1:22" s="53" customFormat="1" x14ac:dyDescent="0.25">
      <c r="A367" s="52"/>
      <c r="C367" s="54"/>
      <c r="F367" s="54"/>
      <c r="S367" s="54"/>
      <c r="T367" s="54"/>
      <c r="U367" s="54"/>
      <c r="V367" s="54"/>
    </row>
    <row r="368" spans="1:22" s="53" customFormat="1" x14ac:dyDescent="0.25">
      <c r="A368" s="52"/>
      <c r="C368" s="54"/>
      <c r="F368" s="54"/>
      <c r="S368" s="54"/>
      <c r="T368" s="54"/>
      <c r="U368" s="54"/>
      <c r="V368" s="54"/>
    </row>
    <row r="369" spans="1:22" s="53" customFormat="1" x14ac:dyDescent="0.25">
      <c r="A369" s="52"/>
      <c r="C369" s="54"/>
      <c r="F369" s="54"/>
      <c r="S369" s="54"/>
      <c r="T369" s="54"/>
      <c r="U369" s="54"/>
      <c r="V369" s="54"/>
    </row>
    <row r="370" spans="1:22" s="53" customFormat="1" x14ac:dyDescent="0.25">
      <c r="A370" s="52"/>
      <c r="C370" s="54"/>
      <c r="F370" s="54"/>
      <c r="S370" s="54"/>
      <c r="T370" s="54"/>
      <c r="U370" s="54"/>
      <c r="V370" s="54"/>
    </row>
    <row r="371" spans="1:22" s="53" customFormat="1" x14ac:dyDescent="0.25">
      <c r="A371" s="52"/>
      <c r="C371" s="54"/>
      <c r="F371" s="54"/>
      <c r="S371" s="54"/>
      <c r="T371" s="54"/>
      <c r="U371" s="54"/>
      <c r="V371" s="54"/>
    </row>
    <row r="372" spans="1:22" s="53" customFormat="1" x14ac:dyDescent="0.25">
      <c r="A372" s="52"/>
      <c r="C372" s="54"/>
      <c r="F372" s="54"/>
      <c r="S372" s="54"/>
      <c r="T372" s="54"/>
      <c r="U372" s="54"/>
      <c r="V372" s="54"/>
    </row>
    <row r="373" spans="1:22" s="53" customFormat="1" x14ac:dyDescent="0.25">
      <c r="A373" s="52"/>
      <c r="C373" s="54"/>
      <c r="F373" s="54"/>
      <c r="S373" s="54"/>
      <c r="T373" s="54"/>
      <c r="U373" s="54"/>
      <c r="V373" s="54"/>
    </row>
    <row r="374" spans="1:22" s="53" customFormat="1" x14ac:dyDescent="0.25">
      <c r="A374" s="52"/>
      <c r="C374" s="54"/>
      <c r="F374" s="54"/>
      <c r="S374" s="54"/>
      <c r="T374" s="54"/>
      <c r="U374" s="54"/>
      <c r="V374" s="54"/>
    </row>
    <row r="375" spans="1:22" s="53" customFormat="1" x14ac:dyDescent="0.25">
      <c r="A375" s="52"/>
      <c r="C375" s="54"/>
      <c r="F375" s="54"/>
      <c r="S375" s="54"/>
      <c r="T375" s="54"/>
      <c r="U375" s="54"/>
      <c r="V375" s="54"/>
    </row>
    <row r="376" spans="1:22" s="53" customFormat="1" x14ac:dyDescent="0.25">
      <c r="A376" s="52"/>
      <c r="C376" s="54"/>
      <c r="F376" s="54"/>
      <c r="S376" s="54"/>
      <c r="T376" s="54"/>
      <c r="U376" s="54"/>
      <c r="V376" s="54"/>
    </row>
    <row r="377" spans="1:22" s="53" customFormat="1" x14ac:dyDescent="0.25">
      <c r="A377" s="52"/>
      <c r="C377" s="54"/>
      <c r="F377" s="54"/>
      <c r="S377" s="54"/>
      <c r="T377" s="54"/>
      <c r="U377" s="54"/>
      <c r="V377" s="54"/>
    </row>
    <row r="378" spans="1:22" s="53" customFormat="1" x14ac:dyDescent="0.25">
      <c r="A378" s="52"/>
      <c r="C378" s="54"/>
      <c r="F378" s="54"/>
      <c r="S378" s="54"/>
      <c r="T378" s="54"/>
      <c r="U378" s="54"/>
      <c r="V378" s="54"/>
    </row>
    <row r="379" spans="1:22" s="53" customFormat="1" x14ac:dyDescent="0.25">
      <c r="A379" s="52"/>
      <c r="C379" s="54"/>
      <c r="F379" s="54"/>
      <c r="S379" s="54"/>
      <c r="T379" s="54"/>
      <c r="U379" s="54"/>
      <c r="V379" s="54"/>
    </row>
    <row r="380" spans="1:22" s="53" customFormat="1" x14ac:dyDescent="0.25">
      <c r="A380" s="52"/>
      <c r="C380" s="54"/>
      <c r="F380" s="54"/>
      <c r="S380" s="54"/>
      <c r="T380" s="54"/>
      <c r="U380" s="54"/>
      <c r="V380" s="54"/>
    </row>
    <row r="381" spans="1:22" s="53" customFormat="1" x14ac:dyDescent="0.25">
      <c r="A381" s="52"/>
      <c r="C381" s="54"/>
      <c r="F381" s="54"/>
      <c r="S381" s="54"/>
      <c r="T381" s="54"/>
      <c r="U381" s="54"/>
      <c r="V381" s="54"/>
    </row>
    <row r="382" spans="1:22" s="53" customFormat="1" x14ac:dyDescent="0.25">
      <c r="A382" s="52"/>
      <c r="C382" s="54"/>
      <c r="F382" s="54"/>
      <c r="S382" s="54"/>
      <c r="T382" s="54"/>
      <c r="U382" s="54"/>
      <c r="V382" s="54"/>
    </row>
    <row r="383" spans="1:22" s="53" customFormat="1" x14ac:dyDescent="0.25">
      <c r="A383" s="52"/>
      <c r="C383" s="54"/>
      <c r="F383" s="54"/>
      <c r="S383" s="54"/>
      <c r="T383" s="54"/>
      <c r="U383" s="54"/>
      <c r="V383" s="54"/>
    </row>
    <row r="384" spans="1:22" s="53" customFormat="1" x14ac:dyDescent="0.25">
      <c r="A384" s="52"/>
      <c r="C384" s="54"/>
      <c r="F384" s="54"/>
      <c r="S384" s="54"/>
      <c r="T384" s="54"/>
      <c r="U384" s="54"/>
      <c r="V384" s="54"/>
    </row>
    <row r="385" spans="1:22" s="53" customFormat="1" x14ac:dyDescent="0.25">
      <c r="A385" s="52"/>
      <c r="C385" s="54"/>
      <c r="F385" s="54"/>
      <c r="S385" s="54"/>
      <c r="T385" s="54"/>
      <c r="U385" s="54"/>
      <c r="V385" s="54"/>
    </row>
    <row r="386" spans="1:22" s="53" customFormat="1" x14ac:dyDescent="0.25">
      <c r="A386" s="52"/>
      <c r="C386" s="54"/>
      <c r="F386" s="54"/>
      <c r="S386" s="54"/>
      <c r="T386" s="54"/>
      <c r="U386" s="54"/>
      <c r="V386" s="54"/>
    </row>
    <row r="387" spans="1:22" s="53" customFormat="1" x14ac:dyDescent="0.25">
      <c r="A387" s="52"/>
      <c r="C387" s="54"/>
      <c r="F387" s="54"/>
      <c r="S387" s="54"/>
      <c r="T387" s="54"/>
      <c r="U387" s="54"/>
      <c r="V387" s="54"/>
    </row>
    <row r="388" spans="1:22" s="53" customFormat="1" x14ac:dyDescent="0.25">
      <c r="A388" s="52"/>
      <c r="C388" s="54"/>
      <c r="F388" s="54"/>
      <c r="S388" s="54"/>
      <c r="T388" s="54"/>
      <c r="U388" s="54"/>
      <c r="V388" s="54"/>
    </row>
    <row r="389" spans="1:22" s="53" customFormat="1" x14ac:dyDescent="0.25">
      <c r="A389" s="52"/>
      <c r="C389" s="54"/>
      <c r="F389" s="54"/>
      <c r="S389" s="54"/>
      <c r="T389" s="54"/>
      <c r="U389" s="54"/>
      <c r="V389" s="54"/>
    </row>
    <row r="390" spans="1:22" s="53" customFormat="1" x14ac:dyDescent="0.25">
      <c r="A390" s="52"/>
      <c r="C390" s="54"/>
      <c r="F390" s="54"/>
      <c r="S390" s="54"/>
      <c r="T390" s="54"/>
      <c r="U390" s="54"/>
      <c r="V390" s="54"/>
    </row>
    <row r="391" spans="1:22" s="53" customFormat="1" x14ac:dyDescent="0.25">
      <c r="A391" s="52"/>
      <c r="C391" s="54"/>
      <c r="F391" s="54"/>
      <c r="S391" s="54"/>
      <c r="T391" s="54"/>
      <c r="U391" s="54"/>
      <c r="V391" s="54"/>
    </row>
    <row r="392" spans="1:22" s="53" customFormat="1" x14ac:dyDescent="0.25">
      <c r="A392" s="52"/>
      <c r="C392" s="54"/>
      <c r="F392" s="54"/>
      <c r="S392" s="54"/>
      <c r="T392" s="54"/>
      <c r="U392" s="54"/>
      <c r="V392" s="54"/>
    </row>
    <row r="393" spans="1:22" s="53" customFormat="1" x14ac:dyDescent="0.25">
      <c r="A393" s="52"/>
      <c r="C393" s="54"/>
      <c r="F393" s="54"/>
      <c r="S393" s="54"/>
      <c r="T393" s="54"/>
      <c r="U393" s="54"/>
      <c r="V393" s="54"/>
    </row>
    <row r="394" spans="1:22" s="53" customFormat="1" x14ac:dyDescent="0.25">
      <c r="A394" s="52"/>
      <c r="C394" s="54"/>
      <c r="F394" s="54"/>
      <c r="S394" s="54"/>
      <c r="T394" s="54"/>
      <c r="U394" s="54"/>
      <c r="V394" s="54"/>
    </row>
  </sheetData>
  <sheetProtection algorithmName="SHA-512" hashValue="b69k3KHIB2UAxejWnoKEK9kV7OBFsv7YhW83ETF5NtIJYQeHqRnXbX+UxUftlGLZ0wGVY/FGLekNpwAnW+acPQ==" saltValue="nvJRKViUQ5dmPi1otB4+ew==" spinCount="100000" sheet="1" objects="1" scenarios="1" selectLockedCells="1"/>
  <mergeCells count="5">
    <mergeCell ref="N1:P1"/>
    <mergeCell ref="Q1:R1"/>
    <mergeCell ref="S1:T1"/>
    <mergeCell ref="U1:V1"/>
    <mergeCell ref="A1:M1"/>
  </mergeCells>
  <phoneticPr fontId="1" type="noConversion"/>
  <dataValidations count="2">
    <dataValidation type="list" allowBlank="1" showInputMessage="1" showErrorMessage="1" sqref="C6">
      <formula1>"Yes,No"</formula1>
    </dataValidation>
    <dataValidation type="list" allowBlank="1" showInputMessage="1" showErrorMessage="1" sqref="C5">
      <formula1>"Yes, No"</formula1>
    </dataValidation>
  </dataValidations>
  <pageMargins left="0.7" right="0.7" top="0.75" bottom="0.75" header="0.3" footer="0.3"/>
  <pageSetup paperSize="8" scale="7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view="pageBreakPreview" zoomScaleNormal="100" zoomScaleSheetLayoutView="100" workbookViewId="0">
      <pane ySplit="2" topLeftCell="A3" activePane="bottomLeft" state="frozen"/>
      <selection pane="bottomLeft" activeCell="F2" sqref="F2"/>
    </sheetView>
  </sheetViews>
  <sheetFormatPr defaultRowHeight="15.75" x14ac:dyDescent="0.25"/>
  <cols>
    <col min="1" max="1" width="9" style="3"/>
    <col min="2" max="2" width="17.75" style="3" customWidth="1"/>
    <col min="3" max="4" width="21.625" style="3" customWidth="1"/>
    <col min="5" max="5" width="15" style="3" bestFit="1" customWidth="1"/>
    <col min="6" max="6" width="11.875" style="3" customWidth="1"/>
    <col min="7" max="16384" width="9" style="3"/>
  </cols>
  <sheetData>
    <row r="1" spans="1:7" x14ac:dyDescent="0.25">
      <c r="B1" s="61" t="s">
        <v>3</v>
      </c>
      <c r="C1" s="62" t="s">
        <v>0</v>
      </c>
      <c r="D1" s="62" t="s">
        <v>1</v>
      </c>
      <c r="E1" s="63" t="s">
        <v>2</v>
      </c>
    </row>
    <row r="2" spans="1:7" x14ac:dyDescent="0.25">
      <c r="B2" s="64" t="s">
        <v>366</v>
      </c>
      <c r="C2" s="65">
        <f>Calculator!I53</f>
        <v>5334</v>
      </c>
      <c r="D2" s="65">
        <f>Calculator!K53</f>
        <v>2134</v>
      </c>
      <c r="E2" s="66">
        <f>Calculator!M53</f>
        <v>3201</v>
      </c>
    </row>
    <row r="4" spans="1:7" ht="16.5" thickBot="1" x14ac:dyDescent="0.3"/>
    <row r="5" spans="1:7" ht="16.5" thickTop="1" x14ac:dyDescent="0.25">
      <c r="A5" s="102" t="s">
        <v>36</v>
      </c>
      <c r="B5" s="103" t="s">
        <v>367</v>
      </c>
      <c r="C5" s="104"/>
      <c r="D5" s="2"/>
      <c r="E5" s="74"/>
    </row>
    <row r="6" spans="1:7" x14ac:dyDescent="0.25">
      <c r="A6" s="105"/>
      <c r="B6" s="38"/>
      <c r="C6" s="131" t="s">
        <v>65</v>
      </c>
      <c r="D6" s="131"/>
      <c r="E6" s="76" t="s">
        <v>371</v>
      </c>
    </row>
    <row r="7" spans="1:7" x14ac:dyDescent="0.25">
      <c r="A7" s="105"/>
      <c r="B7" s="38" t="s">
        <v>0</v>
      </c>
      <c r="C7" s="25" t="s">
        <v>132</v>
      </c>
      <c r="D7" s="87" t="s">
        <v>133</v>
      </c>
      <c r="E7" s="76" t="s">
        <v>370</v>
      </c>
    </row>
    <row r="8" spans="1:7" ht="16.5" thickBot="1" x14ac:dyDescent="0.3">
      <c r="A8" s="106">
        <v>1</v>
      </c>
      <c r="B8" s="107" t="s">
        <v>368</v>
      </c>
      <c r="C8" s="50">
        <v>1</v>
      </c>
      <c r="D8" s="44">
        <v>1</v>
      </c>
      <c r="E8" s="108">
        <v>1</v>
      </c>
    </row>
    <row r="9" spans="1:7" ht="16.5" thickTop="1" x14ac:dyDescent="0.25"/>
    <row r="11" spans="1:7" x14ac:dyDescent="0.25">
      <c r="A11" s="69"/>
      <c r="B11" s="68" t="s">
        <v>372</v>
      </c>
      <c r="C11" s="69"/>
      <c r="D11" s="69"/>
      <c r="E11" s="69"/>
      <c r="F11" s="69"/>
      <c r="G11" s="69"/>
    </row>
    <row r="12" spans="1:7" x14ac:dyDescent="0.25">
      <c r="A12" s="69"/>
      <c r="B12" s="68" t="s">
        <v>373</v>
      </c>
      <c r="C12" s="69"/>
      <c r="D12" s="69"/>
      <c r="E12" s="69"/>
      <c r="F12" s="69"/>
      <c r="G12" s="69"/>
    </row>
    <row r="13" spans="1:7" x14ac:dyDescent="0.25">
      <c r="A13" s="69"/>
      <c r="B13" s="110" t="s">
        <v>85</v>
      </c>
      <c r="C13" s="110" t="s">
        <v>86</v>
      </c>
      <c r="D13" s="110" t="s">
        <v>87</v>
      </c>
      <c r="E13" s="69"/>
      <c r="F13" s="69"/>
      <c r="G13" s="69"/>
    </row>
    <row r="14" spans="1:7" ht="31.5" x14ac:dyDescent="0.25">
      <c r="A14" s="69"/>
      <c r="B14" s="85" t="s">
        <v>381</v>
      </c>
      <c r="C14" s="85" t="s">
        <v>382</v>
      </c>
      <c r="D14" s="85" t="s">
        <v>383</v>
      </c>
      <c r="E14" s="69"/>
      <c r="F14" s="69"/>
      <c r="G14" s="69"/>
    </row>
    <row r="15" spans="1:7" x14ac:dyDescent="0.25">
      <c r="A15" s="71">
        <v>1</v>
      </c>
      <c r="B15" s="86" t="s">
        <v>408</v>
      </c>
      <c r="C15" s="85">
        <v>1</v>
      </c>
      <c r="D15" s="85">
        <v>1</v>
      </c>
      <c r="E15" s="69"/>
      <c r="F15" s="69"/>
      <c r="G15" s="69"/>
    </row>
    <row r="16" spans="1:7" x14ac:dyDescent="0.25">
      <c r="A16" s="71">
        <v>2</v>
      </c>
      <c r="B16" s="86" t="s">
        <v>410</v>
      </c>
      <c r="C16" s="85">
        <v>1</v>
      </c>
      <c r="D16" s="85">
        <v>2</v>
      </c>
      <c r="E16" s="69"/>
      <c r="F16" s="69"/>
      <c r="G16" s="69"/>
    </row>
    <row r="17" spans="1:7" x14ac:dyDescent="0.25">
      <c r="A17" s="71">
        <v>3</v>
      </c>
      <c r="B17" s="86" t="s">
        <v>412</v>
      </c>
      <c r="C17" s="85">
        <v>2</v>
      </c>
      <c r="D17" s="85">
        <v>3</v>
      </c>
      <c r="E17" s="69"/>
      <c r="F17" s="69"/>
      <c r="G17" s="69"/>
    </row>
    <row r="18" spans="1:7" x14ac:dyDescent="0.25">
      <c r="A18" s="71">
        <v>4</v>
      </c>
      <c r="B18" s="86" t="s">
        <v>414</v>
      </c>
      <c r="C18" s="85">
        <v>2</v>
      </c>
      <c r="D18" s="85">
        <v>4</v>
      </c>
      <c r="E18" s="69"/>
      <c r="F18" s="69"/>
      <c r="G18" s="69"/>
    </row>
    <row r="19" spans="1:7" ht="47.25" x14ac:dyDescent="0.25">
      <c r="A19" s="71">
        <v>5</v>
      </c>
      <c r="B19" s="86" t="s">
        <v>416</v>
      </c>
      <c r="C19" s="85">
        <v>3</v>
      </c>
      <c r="D19" s="85" t="s">
        <v>374</v>
      </c>
      <c r="E19" s="69"/>
      <c r="F19" s="69"/>
      <c r="G19" s="69"/>
    </row>
    <row r="20" spans="1:7" ht="47.25" x14ac:dyDescent="0.25">
      <c r="A20" s="71">
        <v>6</v>
      </c>
      <c r="B20" s="86" t="s">
        <v>418</v>
      </c>
      <c r="C20" s="85">
        <v>4</v>
      </c>
      <c r="D20" s="85" t="s">
        <v>376</v>
      </c>
      <c r="E20" s="69"/>
      <c r="F20" s="69"/>
      <c r="G20" s="69"/>
    </row>
    <row r="21" spans="1:7" ht="47.25" x14ac:dyDescent="0.25">
      <c r="A21" s="71">
        <v>7</v>
      </c>
      <c r="B21" s="86" t="s">
        <v>384</v>
      </c>
      <c r="C21" s="85">
        <v>5</v>
      </c>
      <c r="D21" s="85" t="s">
        <v>377</v>
      </c>
      <c r="E21" s="69"/>
      <c r="F21" s="69"/>
      <c r="G21" s="69"/>
    </row>
    <row r="22" spans="1:7" ht="63" x14ac:dyDescent="0.25">
      <c r="A22" s="71">
        <v>8</v>
      </c>
      <c r="B22" s="86" t="s">
        <v>420</v>
      </c>
      <c r="C22" s="85" t="s">
        <v>379</v>
      </c>
      <c r="D22" s="85" t="s">
        <v>380</v>
      </c>
      <c r="E22" s="69"/>
      <c r="F22" s="69"/>
      <c r="G22" s="69"/>
    </row>
    <row r="24" spans="1:7" ht="16.5" thickBot="1" x14ac:dyDescent="0.3"/>
    <row r="25" spans="1:7" ht="16.5" thickTop="1" x14ac:dyDescent="0.25">
      <c r="A25" s="1" t="s">
        <v>36</v>
      </c>
      <c r="B25" s="73" t="s">
        <v>421</v>
      </c>
      <c r="C25" s="2"/>
      <c r="D25" s="2"/>
      <c r="E25" s="2"/>
      <c r="F25" s="74"/>
    </row>
    <row r="26" spans="1:7" ht="31.5" x14ac:dyDescent="0.25">
      <c r="A26" s="112"/>
      <c r="B26" s="38" t="s">
        <v>49</v>
      </c>
      <c r="C26" s="25" t="s">
        <v>38</v>
      </c>
      <c r="D26" s="87" t="s">
        <v>40</v>
      </c>
      <c r="E26" s="25" t="s">
        <v>51</v>
      </c>
      <c r="F26" s="76" t="s">
        <v>52</v>
      </c>
    </row>
    <row r="27" spans="1:7" x14ac:dyDescent="0.25">
      <c r="A27" s="75">
        <v>1</v>
      </c>
      <c r="B27" s="101" t="s">
        <v>409</v>
      </c>
      <c r="C27" s="25">
        <f>IF(D2&gt;40,0,C15)</f>
        <v>0</v>
      </c>
      <c r="D27" s="88">
        <f>ROUNDUP(C27,0)</f>
        <v>0</v>
      </c>
      <c r="E27" s="25">
        <f>IF(D2&gt;40,0,D15)</f>
        <v>0</v>
      </c>
      <c r="F27" s="77">
        <f>ROUNDUP(E27,0)</f>
        <v>0</v>
      </c>
    </row>
    <row r="28" spans="1:7" x14ac:dyDescent="0.25">
      <c r="A28" s="75">
        <v>2</v>
      </c>
      <c r="B28" s="101" t="s">
        <v>411</v>
      </c>
      <c r="C28" s="25">
        <f>IF(AND(D2&gt;40,D2&lt;81),C16,0)</f>
        <v>0</v>
      </c>
      <c r="D28" s="88">
        <f t="shared" ref="D28:D34" si="0">ROUNDUP(C28,0)</f>
        <v>0</v>
      </c>
      <c r="E28" s="25">
        <f>IF(AND(D2&gt;40,D2&lt;81),D16,0)</f>
        <v>0</v>
      </c>
      <c r="F28" s="77">
        <f>ROUNDUP(E28,0)</f>
        <v>0</v>
      </c>
    </row>
    <row r="29" spans="1:7" x14ac:dyDescent="0.25">
      <c r="A29" s="75">
        <v>3</v>
      </c>
      <c r="B29" s="101" t="s">
        <v>413</v>
      </c>
      <c r="C29" s="25">
        <f>IF(AND(D2&gt;80,D2&lt;151),C17,0)</f>
        <v>0</v>
      </c>
      <c r="D29" s="88">
        <f t="shared" si="0"/>
        <v>0</v>
      </c>
      <c r="E29" s="25">
        <f>IF(AND(D2&gt;80,D2&lt;151),D17,0)</f>
        <v>0</v>
      </c>
      <c r="F29" s="77">
        <f>ROUNDUP(E29,0)</f>
        <v>0</v>
      </c>
    </row>
    <row r="30" spans="1:7" x14ac:dyDescent="0.25">
      <c r="A30" s="75">
        <v>4</v>
      </c>
      <c r="B30" s="101" t="s">
        <v>415</v>
      </c>
      <c r="C30" s="25">
        <f>IF(AND(D2&gt;150,D2&lt;201),C18,0)</f>
        <v>0</v>
      </c>
      <c r="D30" s="88">
        <f t="shared" si="0"/>
        <v>0</v>
      </c>
      <c r="E30" s="25">
        <f>IF(AND(D2&gt;150,D2&lt;201),D18,0)</f>
        <v>0</v>
      </c>
      <c r="F30" s="77">
        <f t="shared" ref="F30:F34" si="1">ROUNDUP(E30,0)</f>
        <v>0</v>
      </c>
    </row>
    <row r="31" spans="1:7" x14ac:dyDescent="0.25">
      <c r="A31" s="75">
        <v>5</v>
      </c>
      <c r="B31" s="101" t="s">
        <v>417</v>
      </c>
      <c r="C31" s="25">
        <f>IF(AND(D2&gt;200,D2&lt;301),C19,0)</f>
        <v>0</v>
      </c>
      <c r="D31" s="88">
        <f t="shared" si="0"/>
        <v>0</v>
      </c>
      <c r="E31" s="25">
        <f>IF(AND(D2&gt;200,D2&lt;301),4+(D2-200)/50,0)</f>
        <v>0</v>
      </c>
      <c r="F31" s="77">
        <f t="shared" si="1"/>
        <v>0</v>
      </c>
    </row>
    <row r="32" spans="1:7" x14ac:dyDescent="0.25">
      <c r="A32" s="75">
        <v>6</v>
      </c>
      <c r="B32" s="101" t="s">
        <v>375</v>
      </c>
      <c r="C32" s="25">
        <f>IF(AND(D2&gt;300,D2&lt;401),C20,0)</f>
        <v>0</v>
      </c>
      <c r="D32" s="88">
        <f t="shared" si="0"/>
        <v>0</v>
      </c>
      <c r="E32" s="25">
        <f>IF(AND(D2&gt;300,D2&lt;401),6+(D2-300)/50,0)</f>
        <v>0</v>
      </c>
      <c r="F32" s="77">
        <f t="shared" si="1"/>
        <v>0</v>
      </c>
    </row>
    <row r="33" spans="1:6" x14ac:dyDescent="0.25">
      <c r="A33" s="75">
        <v>7</v>
      </c>
      <c r="B33" s="101" t="s">
        <v>419</v>
      </c>
      <c r="C33" s="25">
        <f>IF(AND(D2&gt;400,D2&lt;651),C21,0)</f>
        <v>0</v>
      </c>
      <c r="D33" s="88">
        <f t="shared" si="0"/>
        <v>0</v>
      </c>
      <c r="E33" s="25">
        <f>IF(AND(D2&gt;400,D2&lt;651),8+(D2-400)/50,0)</f>
        <v>0</v>
      </c>
      <c r="F33" s="77">
        <f t="shared" si="1"/>
        <v>0</v>
      </c>
    </row>
    <row r="34" spans="1:6" x14ac:dyDescent="0.25">
      <c r="A34" s="75">
        <v>8</v>
      </c>
      <c r="B34" s="101" t="s">
        <v>378</v>
      </c>
      <c r="C34" s="25">
        <f>IF(D2&gt;650,5+(D2-650)/250,0)</f>
        <v>10.936</v>
      </c>
      <c r="D34" s="88">
        <f t="shared" si="0"/>
        <v>11</v>
      </c>
      <c r="E34" s="25">
        <f>IF(D2&gt;650,13+(D2-650)/50,0)</f>
        <v>42.68</v>
      </c>
      <c r="F34" s="77">
        <f t="shared" si="1"/>
        <v>43</v>
      </c>
    </row>
    <row r="35" spans="1:6" ht="16.5" thickBot="1" x14ac:dyDescent="0.3">
      <c r="A35" s="113"/>
      <c r="B35" s="79" t="s">
        <v>66</v>
      </c>
      <c r="C35" s="82"/>
      <c r="D35" s="80">
        <f>SUM(D27:D34)</f>
        <v>11</v>
      </c>
      <c r="E35" s="82"/>
      <c r="F35" s="81">
        <f>SUM(F27:F34)</f>
        <v>43</v>
      </c>
    </row>
    <row r="36" spans="1:6" ht="16.5" thickTop="1" x14ac:dyDescent="0.25"/>
    <row r="39" spans="1:6" x14ac:dyDescent="0.25">
      <c r="A39" s="69"/>
      <c r="B39" s="68" t="s">
        <v>385</v>
      </c>
      <c r="C39" s="69"/>
      <c r="D39" s="69"/>
      <c r="E39" s="69"/>
      <c r="F39" s="69"/>
    </row>
    <row r="40" spans="1:6" x14ac:dyDescent="0.25">
      <c r="A40" s="69"/>
      <c r="B40" s="68" t="s">
        <v>386</v>
      </c>
      <c r="C40" s="69"/>
      <c r="D40" s="69"/>
      <c r="E40" s="69"/>
      <c r="F40" s="69"/>
    </row>
    <row r="41" spans="1:6" x14ac:dyDescent="0.25">
      <c r="A41" s="69"/>
      <c r="B41" s="110" t="s">
        <v>194</v>
      </c>
      <c r="C41" s="110" t="s">
        <v>195</v>
      </c>
      <c r="D41" s="69"/>
      <c r="E41" s="69"/>
      <c r="F41" s="69"/>
    </row>
    <row r="42" spans="1:6" ht="31.5" x14ac:dyDescent="0.25">
      <c r="A42" s="69"/>
      <c r="B42" s="85" t="s">
        <v>391</v>
      </c>
      <c r="C42" s="85" t="s">
        <v>392</v>
      </c>
      <c r="D42" s="69"/>
      <c r="E42" s="69"/>
      <c r="F42" s="69"/>
    </row>
    <row r="43" spans="1:6" x14ac:dyDescent="0.25">
      <c r="A43" s="71">
        <v>1</v>
      </c>
      <c r="B43" s="86" t="s">
        <v>422</v>
      </c>
      <c r="C43" s="85">
        <v>1</v>
      </c>
      <c r="D43" s="69"/>
      <c r="E43" s="69"/>
      <c r="F43" s="69"/>
    </row>
    <row r="44" spans="1:6" x14ac:dyDescent="0.25">
      <c r="A44" s="71">
        <v>2</v>
      </c>
      <c r="B44" s="86" t="s">
        <v>423</v>
      </c>
      <c r="C44" s="85">
        <v>2</v>
      </c>
      <c r="D44" s="69"/>
      <c r="E44" s="69"/>
      <c r="F44" s="69"/>
    </row>
    <row r="45" spans="1:6" x14ac:dyDescent="0.25">
      <c r="A45" s="71">
        <v>3</v>
      </c>
      <c r="B45" s="86" t="s">
        <v>425</v>
      </c>
      <c r="C45" s="85">
        <v>3</v>
      </c>
      <c r="D45" s="69"/>
      <c r="E45" s="69"/>
      <c r="F45" s="69"/>
    </row>
    <row r="46" spans="1:6" x14ac:dyDescent="0.25">
      <c r="A46" s="71">
        <v>4</v>
      </c>
      <c r="B46" s="86" t="s">
        <v>427</v>
      </c>
      <c r="C46" s="85">
        <v>4</v>
      </c>
      <c r="D46" s="69"/>
      <c r="E46" s="69"/>
      <c r="F46" s="69"/>
    </row>
    <row r="47" spans="1:6" ht="47.25" x14ac:dyDescent="0.25">
      <c r="A47" s="71">
        <v>5</v>
      </c>
      <c r="B47" s="86" t="s">
        <v>428</v>
      </c>
      <c r="C47" s="85" t="s">
        <v>390</v>
      </c>
      <c r="D47" s="69"/>
      <c r="E47" s="69"/>
      <c r="F47" s="69"/>
    </row>
    <row r="49" spans="1:6" ht="16.5" thickBot="1" x14ac:dyDescent="0.3"/>
    <row r="50" spans="1:6" ht="16.5" thickTop="1" x14ac:dyDescent="0.25">
      <c r="A50" s="1" t="s">
        <v>36</v>
      </c>
      <c r="B50" s="73" t="s">
        <v>421</v>
      </c>
      <c r="C50" s="2"/>
      <c r="D50" s="74"/>
    </row>
    <row r="51" spans="1:6" ht="31.5" x14ac:dyDescent="0.25">
      <c r="A51" s="112"/>
      <c r="B51" s="38" t="s">
        <v>53</v>
      </c>
      <c r="C51" s="25" t="s">
        <v>39</v>
      </c>
      <c r="D51" s="76" t="s">
        <v>41</v>
      </c>
    </row>
    <row r="52" spans="1:6" x14ac:dyDescent="0.25">
      <c r="A52" s="75">
        <v>1</v>
      </c>
      <c r="B52" s="101" t="s">
        <v>387</v>
      </c>
      <c r="C52" s="25">
        <f>IF(E2&gt;60,0,C43)</f>
        <v>0</v>
      </c>
      <c r="D52" s="77">
        <f>ROUNDUP(C52,0)</f>
        <v>0</v>
      </c>
    </row>
    <row r="53" spans="1:6" x14ac:dyDescent="0.25">
      <c r="A53" s="75">
        <v>2</v>
      </c>
      <c r="B53" s="101" t="s">
        <v>424</v>
      </c>
      <c r="C53" s="25">
        <f>IF(AND(E2&gt;60,E2&lt;121),C44,0)</f>
        <v>0</v>
      </c>
      <c r="D53" s="77">
        <f t="shared" ref="D53:D56" si="2">ROUNDUP(C53,0)</f>
        <v>0</v>
      </c>
    </row>
    <row r="54" spans="1:6" x14ac:dyDescent="0.25">
      <c r="A54" s="75">
        <v>3</v>
      </c>
      <c r="B54" s="101" t="s">
        <v>426</v>
      </c>
      <c r="C54" s="25">
        <f>IF(AND(E2&gt;120,E2&lt;181),C45,0)</f>
        <v>0</v>
      </c>
      <c r="D54" s="77">
        <f t="shared" si="2"/>
        <v>0</v>
      </c>
    </row>
    <row r="55" spans="1:6" x14ac:dyDescent="0.25">
      <c r="A55" s="75">
        <v>4</v>
      </c>
      <c r="B55" s="101" t="s">
        <v>388</v>
      </c>
      <c r="C55" s="25">
        <f>IF(AND(E2&gt;180,E2&lt;201),C46,0)</f>
        <v>0</v>
      </c>
      <c r="D55" s="77">
        <f t="shared" si="2"/>
        <v>0</v>
      </c>
    </row>
    <row r="56" spans="1:6" x14ac:dyDescent="0.25">
      <c r="A56" s="75">
        <v>5</v>
      </c>
      <c r="B56" s="101" t="s">
        <v>389</v>
      </c>
      <c r="C56" s="25">
        <f>IF(E2&gt;200,4+(E2-200)/100,0)</f>
        <v>34.010000000000005</v>
      </c>
      <c r="D56" s="77">
        <f t="shared" si="2"/>
        <v>35</v>
      </c>
    </row>
    <row r="57" spans="1:6" ht="16.5" thickBot="1" x14ac:dyDescent="0.3">
      <c r="A57" s="113"/>
      <c r="B57" s="79" t="s">
        <v>66</v>
      </c>
      <c r="C57" s="82"/>
      <c r="D57" s="81">
        <f>SUM(D52:D56)</f>
        <v>35</v>
      </c>
    </row>
    <row r="58" spans="1:6" ht="16.5" thickTop="1" x14ac:dyDescent="0.25"/>
    <row r="61" spans="1:6" x14ac:dyDescent="0.25">
      <c r="A61" s="69"/>
      <c r="B61" s="68" t="s">
        <v>393</v>
      </c>
      <c r="C61" s="69"/>
      <c r="D61" s="69"/>
      <c r="E61" s="69"/>
      <c r="F61" s="69"/>
    </row>
    <row r="62" spans="1:6" x14ac:dyDescent="0.25">
      <c r="A62" s="69"/>
      <c r="B62" s="68" t="s">
        <v>394</v>
      </c>
      <c r="C62" s="69"/>
      <c r="D62" s="69"/>
      <c r="E62" s="69"/>
      <c r="F62" s="69"/>
    </row>
    <row r="63" spans="1:6" x14ac:dyDescent="0.25">
      <c r="A63" s="69"/>
      <c r="B63" s="69"/>
      <c r="C63" s="69"/>
      <c r="D63" s="69"/>
      <c r="E63" s="69"/>
      <c r="F63" s="69"/>
    </row>
    <row r="64" spans="1:6" x14ac:dyDescent="0.25">
      <c r="A64" s="84" t="s">
        <v>400</v>
      </c>
      <c r="B64" s="68" t="s">
        <v>395</v>
      </c>
      <c r="C64" s="69"/>
      <c r="D64" s="69"/>
      <c r="E64" s="69"/>
      <c r="F64" s="69"/>
    </row>
    <row r="65" spans="1:6" x14ac:dyDescent="0.25">
      <c r="A65" s="69"/>
      <c r="B65" s="110" t="s">
        <v>401</v>
      </c>
      <c r="C65" s="110" t="s">
        <v>402</v>
      </c>
      <c r="D65" s="69"/>
      <c r="E65" s="69"/>
      <c r="F65" s="69"/>
    </row>
    <row r="66" spans="1:6" ht="31.5" x14ac:dyDescent="0.25">
      <c r="A66" s="69"/>
      <c r="B66" s="85" t="s">
        <v>403</v>
      </c>
      <c r="C66" s="85" t="s">
        <v>404</v>
      </c>
      <c r="D66" s="69"/>
      <c r="E66" s="69"/>
      <c r="F66" s="69"/>
    </row>
    <row r="67" spans="1:6" x14ac:dyDescent="0.25">
      <c r="A67" s="71">
        <v>1</v>
      </c>
      <c r="B67" s="86" t="s">
        <v>429</v>
      </c>
      <c r="C67" s="85">
        <v>1</v>
      </c>
      <c r="D67" s="69"/>
      <c r="E67" s="69"/>
      <c r="F67" s="69"/>
    </row>
    <row r="68" spans="1:6" x14ac:dyDescent="0.25">
      <c r="A68" s="71">
        <v>2</v>
      </c>
      <c r="B68" s="86" t="s">
        <v>430</v>
      </c>
      <c r="C68" s="85">
        <v>2</v>
      </c>
      <c r="D68" s="69"/>
      <c r="E68" s="69"/>
      <c r="F68" s="69"/>
    </row>
    <row r="69" spans="1:6" x14ac:dyDescent="0.25">
      <c r="A69" s="71">
        <v>3</v>
      </c>
      <c r="B69" s="86" t="s">
        <v>431</v>
      </c>
      <c r="C69" s="85">
        <v>3</v>
      </c>
      <c r="D69" s="69"/>
      <c r="E69" s="69"/>
      <c r="F69" s="69"/>
    </row>
    <row r="70" spans="1:6" ht="47.25" x14ac:dyDescent="0.25">
      <c r="A70" s="71">
        <v>4</v>
      </c>
      <c r="B70" s="86" t="s">
        <v>432</v>
      </c>
      <c r="C70" s="85" t="s">
        <v>396</v>
      </c>
      <c r="D70" s="69"/>
      <c r="E70" s="69"/>
      <c r="F70" s="69"/>
    </row>
    <row r="71" spans="1:6" x14ac:dyDescent="0.25">
      <c r="A71" s="69"/>
      <c r="B71" s="69"/>
      <c r="C71" s="69"/>
      <c r="D71" s="69"/>
      <c r="E71" s="69"/>
      <c r="F71" s="69"/>
    </row>
    <row r="72" spans="1:6" x14ac:dyDescent="0.25">
      <c r="A72" s="84" t="s">
        <v>311</v>
      </c>
      <c r="B72" s="68" t="s">
        <v>397</v>
      </c>
      <c r="C72" s="69"/>
      <c r="D72" s="69"/>
      <c r="E72" s="69"/>
      <c r="F72" s="69"/>
    </row>
    <row r="73" spans="1:6" x14ac:dyDescent="0.25">
      <c r="A73" s="69"/>
      <c r="B73" s="110" t="s">
        <v>401</v>
      </c>
      <c r="C73" s="110" t="s">
        <v>402</v>
      </c>
      <c r="D73" s="69"/>
      <c r="E73" s="69"/>
      <c r="F73" s="69"/>
    </row>
    <row r="74" spans="1:6" ht="31.5" x14ac:dyDescent="0.25">
      <c r="A74" s="69"/>
      <c r="B74" s="85" t="s">
        <v>405</v>
      </c>
      <c r="C74" s="85" t="s">
        <v>406</v>
      </c>
      <c r="D74" s="69"/>
      <c r="E74" s="69"/>
      <c r="F74" s="69"/>
    </row>
    <row r="75" spans="1:6" x14ac:dyDescent="0.25">
      <c r="A75" s="71">
        <v>1</v>
      </c>
      <c r="B75" s="86" t="s">
        <v>437</v>
      </c>
      <c r="C75" s="85">
        <v>1</v>
      </c>
      <c r="D75" s="69"/>
      <c r="E75" s="69"/>
      <c r="F75" s="69"/>
    </row>
    <row r="76" spans="1:6" x14ac:dyDescent="0.25">
      <c r="A76" s="71">
        <v>2</v>
      </c>
      <c r="B76" s="86" t="s">
        <v>438</v>
      </c>
      <c r="C76" s="85">
        <v>2</v>
      </c>
      <c r="D76" s="69"/>
      <c r="E76" s="69"/>
      <c r="F76" s="69"/>
    </row>
    <row r="77" spans="1:6" x14ac:dyDescent="0.25">
      <c r="A77" s="71">
        <v>3</v>
      </c>
      <c r="B77" s="86" t="s">
        <v>439</v>
      </c>
      <c r="C77" s="85">
        <v>4</v>
      </c>
      <c r="D77" s="69"/>
      <c r="E77" s="69"/>
      <c r="F77" s="69"/>
    </row>
    <row r="78" spans="1:6" ht="47.25" x14ac:dyDescent="0.25">
      <c r="A78" s="71">
        <v>4</v>
      </c>
      <c r="B78" s="86" t="s">
        <v>216</v>
      </c>
      <c r="C78" s="85" t="s">
        <v>407</v>
      </c>
      <c r="D78" s="69"/>
      <c r="E78" s="69"/>
      <c r="F78" s="69"/>
    </row>
    <row r="80" spans="1:6" ht="16.5" thickBot="1" x14ac:dyDescent="0.3"/>
    <row r="81" spans="1:4" ht="16.5" thickTop="1" x14ac:dyDescent="0.25">
      <c r="A81" s="1" t="s">
        <v>36</v>
      </c>
      <c r="B81" s="73" t="s">
        <v>421</v>
      </c>
      <c r="C81" s="2"/>
      <c r="D81" s="74"/>
    </row>
    <row r="82" spans="1:4" ht="31.5" x14ac:dyDescent="0.25">
      <c r="A82" s="75"/>
      <c r="B82" s="38" t="s">
        <v>49</v>
      </c>
      <c r="C82" s="25" t="s">
        <v>134</v>
      </c>
      <c r="D82" s="76" t="s">
        <v>135</v>
      </c>
    </row>
    <row r="83" spans="1:4" x14ac:dyDescent="0.25">
      <c r="A83" s="75">
        <v>1</v>
      </c>
      <c r="B83" s="101" t="s">
        <v>433</v>
      </c>
      <c r="C83" s="25">
        <f>IF(D2&gt;80,0,C67)</f>
        <v>0</v>
      </c>
      <c r="D83" s="77">
        <f>ROUNDUP(C83,0)</f>
        <v>0</v>
      </c>
    </row>
    <row r="84" spans="1:4" x14ac:dyDescent="0.25">
      <c r="A84" s="75">
        <v>2</v>
      </c>
      <c r="B84" s="101" t="s">
        <v>434</v>
      </c>
      <c r="C84" s="25">
        <f>IF(AND(D2&gt;80,D2&lt;121),C68,0)</f>
        <v>0</v>
      </c>
      <c r="D84" s="77">
        <f t="shared" ref="D84:D86" si="3">ROUNDUP(C84,0)</f>
        <v>0</v>
      </c>
    </row>
    <row r="85" spans="1:4" x14ac:dyDescent="0.25">
      <c r="A85" s="75">
        <v>3</v>
      </c>
      <c r="B85" s="101" t="s">
        <v>435</v>
      </c>
      <c r="C85" s="25">
        <f>IF(AND(D2&gt;120,D2&lt;151),C69,0)</f>
        <v>0</v>
      </c>
      <c r="D85" s="77">
        <f t="shared" si="3"/>
        <v>0</v>
      </c>
    </row>
    <row r="86" spans="1:4" x14ac:dyDescent="0.25">
      <c r="A86" s="75">
        <v>4</v>
      </c>
      <c r="B86" s="101" t="s">
        <v>436</v>
      </c>
      <c r="C86" s="25">
        <f>IF(D2&gt;150,3+(D2-150)/100,0)</f>
        <v>22.84</v>
      </c>
      <c r="D86" s="77">
        <f t="shared" si="3"/>
        <v>23</v>
      </c>
    </row>
    <row r="87" spans="1:4" ht="16.5" thickBot="1" x14ac:dyDescent="0.3">
      <c r="A87" s="113"/>
      <c r="B87" s="79" t="s">
        <v>66</v>
      </c>
      <c r="C87" s="91"/>
      <c r="D87" s="81">
        <f>SUM(D83:D86)</f>
        <v>23</v>
      </c>
    </row>
    <row r="88" spans="1:4" ht="17.25" thickTop="1" thickBot="1" x14ac:dyDescent="0.3"/>
    <row r="89" spans="1:4" ht="16.5" thickTop="1" x14ac:dyDescent="0.25">
      <c r="A89" s="1" t="s">
        <v>36</v>
      </c>
      <c r="B89" s="73" t="s">
        <v>421</v>
      </c>
      <c r="C89" s="2"/>
      <c r="D89" s="74"/>
    </row>
    <row r="90" spans="1:4" ht="31.5" x14ac:dyDescent="0.25">
      <c r="A90" s="75"/>
      <c r="B90" s="38" t="s">
        <v>53</v>
      </c>
      <c r="C90" s="25" t="s">
        <v>136</v>
      </c>
      <c r="D90" s="76" t="s">
        <v>137</v>
      </c>
    </row>
    <row r="91" spans="1:4" x14ac:dyDescent="0.25">
      <c r="A91" s="75">
        <v>1</v>
      </c>
      <c r="B91" s="101" t="s">
        <v>398</v>
      </c>
      <c r="C91" s="25">
        <f>IF(E2&gt;120,0,C75)</f>
        <v>0</v>
      </c>
      <c r="D91" s="77">
        <f>ROUNDUP(C91,0)</f>
        <v>0</v>
      </c>
    </row>
    <row r="92" spans="1:4" x14ac:dyDescent="0.25">
      <c r="A92" s="75">
        <v>2</v>
      </c>
      <c r="B92" s="101" t="s">
        <v>426</v>
      </c>
      <c r="C92" s="25">
        <f>IF(AND(E2&gt;120,E2&lt;181),C76,0)</f>
        <v>0</v>
      </c>
      <c r="D92" s="77">
        <f t="shared" ref="D92:D94" si="4">ROUNDUP(C92,0)</f>
        <v>0</v>
      </c>
    </row>
    <row r="93" spans="1:4" x14ac:dyDescent="0.25">
      <c r="A93" s="75">
        <v>3</v>
      </c>
      <c r="B93" s="101" t="s">
        <v>399</v>
      </c>
      <c r="C93" s="25">
        <f>IF(AND(E2&gt;180,E2&lt;251),C77,0)</f>
        <v>0</v>
      </c>
      <c r="D93" s="77">
        <f t="shared" si="4"/>
        <v>0</v>
      </c>
    </row>
    <row r="94" spans="1:4" x14ac:dyDescent="0.25">
      <c r="A94" s="75">
        <v>4</v>
      </c>
      <c r="B94" s="101" t="s">
        <v>193</v>
      </c>
      <c r="C94" s="25">
        <f>IF(E2&gt;250,4+(E2-250)/100,0)</f>
        <v>33.510000000000005</v>
      </c>
      <c r="D94" s="77">
        <f t="shared" si="4"/>
        <v>34</v>
      </c>
    </row>
    <row r="95" spans="1:4" ht="16.5" thickBot="1" x14ac:dyDescent="0.3">
      <c r="A95" s="113"/>
      <c r="B95" s="79" t="s">
        <v>66</v>
      </c>
      <c r="C95" s="91"/>
      <c r="D95" s="81">
        <f>SUM(D91:D94)</f>
        <v>34</v>
      </c>
    </row>
    <row r="96" spans="1:4" ht="16.5" thickTop="1" x14ac:dyDescent="0.25"/>
  </sheetData>
  <sheetProtection algorithmName="SHA-512" hashValue="6yHDOIUSvfzwofKKKcK3EnYBFbUGCwINAjRVgrvQqFpJx/GOSx90k7nAUhTwWELcvfCT5Iz3RguZiTelRg1ImQ==" saltValue="BmUXehCOwbc8TaSeRzyKjA==" spinCount="100000" sheet="1" objects="1" scenarios="1"/>
  <mergeCells count="1">
    <mergeCell ref="C6:D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  <rowBreaks count="2" manualBreakCount="2">
    <brk id="37" max="5" man="1"/>
    <brk id="7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view="pageBreakPreview" zoomScaleNormal="70" zoomScaleSheetLayoutView="100" workbookViewId="0">
      <pane ySplit="3" topLeftCell="A4" activePane="bottomLeft" state="frozen"/>
      <selection pane="bottomLeft" activeCell="F2" sqref="F2"/>
    </sheetView>
  </sheetViews>
  <sheetFormatPr defaultRowHeight="15.75" x14ac:dyDescent="0.25"/>
  <cols>
    <col min="1" max="1" width="8.75" style="56" customWidth="1"/>
    <col min="2" max="2" width="19" style="3" customWidth="1"/>
    <col min="3" max="3" width="20" style="3" customWidth="1"/>
    <col min="4" max="4" width="15.875" style="3" customWidth="1"/>
    <col min="5" max="5" width="19.375" style="3" customWidth="1"/>
    <col min="6" max="6" width="15.875" style="3" customWidth="1"/>
    <col min="7" max="8" width="6.5" style="3" customWidth="1"/>
    <col min="9" max="9" width="17.125" style="3" customWidth="1"/>
    <col min="10" max="16384" width="9" style="3"/>
  </cols>
  <sheetData>
    <row r="1" spans="1:11" x14ac:dyDescent="0.25">
      <c r="B1" s="61" t="s">
        <v>23</v>
      </c>
      <c r="C1" s="62" t="s">
        <v>19</v>
      </c>
      <c r="D1" s="62" t="s">
        <v>20</v>
      </c>
      <c r="E1" s="63" t="s">
        <v>21</v>
      </c>
    </row>
    <row r="2" spans="1:11" x14ac:dyDescent="0.25">
      <c r="B2" s="64" t="s">
        <v>18</v>
      </c>
      <c r="C2" s="65">
        <f>Calculator!I7</f>
        <v>30</v>
      </c>
      <c r="D2" s="65">
        <f>Calculator!K7</f>
        <v>15</v>
      </c>
      <c r="E2" s="66">
        <f>Calculator!M7</f>
        <v>15</v>
      </c>
    </row>
    <row r="3" spans="1:11" x14ac:dyDescent="0.25">
      <c r="B3" s="64" t="s">
        <v>22</v>
      </c>
      <c r="C3" s="65">
        <f>Calculator!I8</f>
        <v>17</v>
      </c>
      <c r="D3" s="65">
        <f>Calculator!K8</f>
        <v>9</v>
      </c>
      <c r="E3" s="66">
        <f>Calculator!M8</f>
        <v>9</v>
      </c>
    </row>
    <row r="6" spans="1:11" x14ac:dyDescent="0.25">
      <c r="A6" s="67"/>
      <c r="B6" s="68" t="s">
        <v>14</v>
      </c>
      <c r="C6" s="69"/>
      <c r="D6" s="69"/>
      <c r="E6" s="69"/>
      <c r="F6" s="69"/>
      <c r="G6" s="69"/>
      <c r="H6" s="69"/>
      <c r="I6" s="69"/>
      <c r="J6" s="69"/>
      <c r="K6" s="69"/>
    </row>
    <row r="7" spans="1:11" x14ac:dyDescent="0.25">
      <c r="A7" s="67"/>
      <c r="B7" s="68" t="s">
        <v>440</v>
      </c>
      <c r="C7" s="69"/>
      <c r="D7" s="69"/>
      <c r="E7" s="69"/>
      <c r="F7" s="69"/>
      <c r="G7" s="69"/>
      <c r="H7" s="69"/>
      <c r="I7" s="69"/>
      <c r="J7" s="69"/>
      <c r="K7" s="69"/>
    </row>
    <row r="8" spans="1:11" ht="63" x14ac:dyDescent="0.25">
      <c r="A8" s="67"/>
      <c r="B8" s="70" t="s">
        <v>450</v>
      </c>
      <c r="C8" s="70" t="s">
        <v>451</v>
      </c>
      <c r="D8" s="69"/>
      <c r="E8" s="69"/>
      <c r="F8" s="69"/>
      <c r="G8" s="69"/>
      <c r="H8" s="69"/>
      <c r="I8" s="69"/>
      <c r="J8" s="69"/>
      <c r="K8" s="69"/>
    </row>
    <row r="9" spans="1:11" x14ac:dyDescent="0.25">
      <c r="A9" s="71">
        <v>1</v>
      </c>
      <c r="B9" s="72" t="s">
        <v>15</v>
      </c>
      <c r="C9" s="67">
        <v>1</v>
      </c>
      <c r="D9" s="69"/>
      <c r="E9" s="69"/>
      <c r="F9" s="69"/>
      <c r="G9" s="69"/>
      <c r="H9" s="69"/>
      <c r="I9" s="69"/>
      <c r="J9" s="69"/>
      <c r="K9" s="69"/>
    </row>
    <row r="10" spans="1:11" ht="47.25" x14ac:dyDescent="0.25">
      <c r="A10" s="71">
        <v>2</v>
      </c>
      <c r="B10" s="72" t="s">
        <v>16</v>
      </c>
      <c r="C10" s="70" t="s">
        <v>17</v>
      </c>
      <c r="D10" s="69"/>
      <c r="E10" s="69"/>
      <c r="F10" s="69"/>
      <c r="G10" s="69"/>
      <c r="H10" s="69"/>
      <c r="I10" s="69"/>
      <c r="J10" s="69"/>
      <c r="K10" s="69"/>
    </row>
    <row r="12" spans="1:11" ht="16.5" thickBot="1" x14ac:dyDescent="0.3"/>
    <row r="13" spans="1:11" ht="16.5" thickTop="1" x14ac:dyDescent="0.25">
      <c r="A13" s="1" t="s">
        <v>36</v>
      </c>
      <c r="B13" s="73" t="s">
        <v>35</v>
      </c>
      <c r="C13" s="73" t="s">
        <v>24</v>
      </c>
      <c r="D13" s="74"/>
    </row>
    <row r="14" spans="1:11" x14ac:dyDescent="0.25">
      <c r="A14" s="75"/>
      <c r="B14" s="38"/>
      <c r="C14" s="131" t="s">
        <v>65</v>
      </c>
      <c r="D14" s="132"/>
    </row>
    <row r="15" spans="1:11" ht="31.5" x14ac:dyDescent="0.25">
      <c r="A15" s="75"/>
      <c r="B15" s="38" t="s">
        <v>0</v>
      </c>
      <c r="C15" s="25" t="s">
        <v>132</v>
      </c>
      <c r="D15" s="76" t="s">
        <v>138</v>
      </c>
    </row>
    <row r="16" spans="1:11" x14ac:dyDescent="0.25">
      <c r="A16" s="75">
        <v>1</v>
      </c>
      <c r="B16" s="38" t="s">
        <v>15</v>
      </c>
      <c r="C16" s="25">
        <f>IF(C2&gt;8,0,C9)</f>
        <v>0</v>
      </c>
      <c r="D16" s="77">
        <f>ROUNDUP(C16,0)</f>
        <v>0</v>
      </c>
    </row>
    <row r="17" spans="1:11" x14ac:dyDescent="0.25">
      <c r="A17" s="75">
        <v>2</v>
      </c>
      <c r="B17" s="38" t="s">
        <v>16</v>
      </c>
      <c r="C17" s="25">
        <f>IF(C2&gt;8,1+(C2-8)/12,0)</f>
        <v>2.833333333333333</v>
      </c>
      <c r="D17" s="77">
        <f>ROUNDUP(C17,0)</f>
        <v>3</v>
      </c>
    </row>
    <row r="18" spans="1:11" ht="16.5" thickBot="1" x14ac:dyDescent="0.3">
      <c r="A18" s="78"/>
      <c r="B18" s="79" t="s">
        <v>66</v>
      </c>
      <c r="C18" s="80"/>
      <c r="D18" s="81">
        <f>SUM(D16:D17)</f>
        <v>3</v>
      </c>
    </row>
    <row r="19" spans="1:11" ht="17.25" thickTop="1" thickBot="1" x14ac:dyDescent="0.3">
      <c r="C19" s="56"/>
    </row>
    <row r="20" spans="1:11" ht="16.5" thickTop="1" x14ac:dyDescent="0.25">
      <c r="A20" s="1" t="s">
        <v>36</v>
      </c>
      <c r="B20" s="73" t="s">
        <v>69</v>
      </c>
      <c r="C20" s="73" t="s">
        <v>24</v>
      </c>
      <c r="D20" s="74"/>
    </row>
    <row r="21" spans="1:11" x14ac:dyDescent="0.25">
      <c r="A21" s="75"/>
      <c r="B21" s="38"/>
      <c r="C21" s="131" t="s">
        <v>71</v>
      </c>
      <c r="D21" s="132"/>
    </row>
    <row r="22" spans="1:11" ht="31.5" x14ac:dyDescent="0.25">
      <c r="A22" s="75"/>
      <c r="B22" s="38" t="s">
        <v>0</v>
      </c>
      <c r="C22" s="25" t="s">
        <v>132</v>
      </c>
      <c r="D22" s="76" t="s">
        <v>138</v>
      </c>
    </row>
    <row r="23" spans="1:11" x14ac:dyDescent="0.25">
      <c r="A23" s="75">
        <v>1</v>
      </c>
      <c r="B23" s="38" t="s">
        <v>15</v>
      </c>
      <c r="C23" s="25">
        <f>IF(C3&gt;8,0,C9)</f>
        <v>0</v>
      </c>
      <c r="D23" s="77">
        <f>ROUNDUP(C23,0)</f>
        <v>0</v>
      </c>
    </row>
    <row r="24" spans="1:11" x14ac:dyDescent="0.25">
      <c r="A24" s="75">
        <v>2</v>
      </c>
      <c r="B24" s="38" t="s">
        <v>16</v>
      </c>
      <c r="C24" s="25">
        <f>IF(C3&gt;8,1+(C3-8)/12,0)</f>
        <v>1.75</v>
      </c>
      <c r="D24" s="77">
        <f>ROUNDUP(C24,0)</f>
        <v>2</v>
      </c>
    </row>
    <row r="25" spans="1:11" ht="16.5" thickBot="1" x14ac:dyDescent="0.3">
      <c r="A25" s="78"/>
      <c r="B25" s="82" t="s">
        <v>70</v>
      </c>
      <c r="C25" s="83"/>
      <c r="D25" s="81">
        <f>SUM(D23:D24)</f>
        <v>2</v>
      </c>
    </row>
    <row r="26" spans="1:11" ht="16.5" thickTop="1" x14ac:dyDescent="0.25">
      <c r="C26" s="56"/>
    </row>
    <row r="29" spans="1:11" x14ac:dyDescent="0.25">
      <c r="A29" s="67"/>
      <c r="B29" s="68" t="s">
        <v>25</v>
      </c>
      <c r="C29" s="69"/>
      <c r="D29" s="69"/>
      <c r="E29" s="69"/>
      <c r="F29" s="69"/>
      <c r="G29" s="69"/>
      <c r="H29" s="69"/>
      <c r="I29" s="69"/>
      <c r="J29" s="69"/>
      <c r="K29" s="69"/>
    </row>
    <row r="30" spans="1:11" x14ac:dyDescent="0.25">
      <c r="A30" s="67"/>
      <c r="B30" s="68" t="s">
        <v>26</v>
      </c>
      <c r="C30" s="69"/>
      <c r="D30" s="69"/>
      <c r="E30" s="69"/>
      <c r="F30" s="69"/>
      <c r="G30" s="69"/>
      <c r="H30" s="69"/>
      <c r="I30" s="69"/>
      <c r="J30" s="69"/>
      <c r="K30" s="69"/>
    </row>
    <row r="31" spans="1:11" x14ac:dyDescent="0.25">
      <c r="A31" s="67"/>
      <c r="B31" s="69"/>
      <c r="C31" s="69"/>
      <c r="D31" s="69"/>
      <c r="E31" s="69"/>
      <c r="F31" s="69"/>
      <c r="G31" s="69"/>
      <c r="H31" s="69"/>
      <c r="I31" s="69"/>
      <c r="J31" s="69"/>
      <c r="K31" s="69"/>
    </row>
    <row r="32" spans="1:11" x14ac:dyDescent="0.25">
      <c r="A32" s="84" t="s">
        <v>27</v>
      </c>
      <c r="B32" s="68" t="s">
        <v>28</v>
      </c>
      <c r="C32" s="69"/>
      <c r="D32" s="69"/>
      <c r="E32" s="69"/>
      <c r="F32" s="69"/>
      <c r="G32" s="69"/>
      <c r="H32" s="69"/>
      <c r="I32" s="69"/>
      <c r="J32" s="69"/>
      <c r="K32" s="69"/>
    </row>
    <row r="33" spans="1:11" ht="63" x14ac:dyDescent="0.25">
      <c r="A33" s="67"/>
      <c r="B33" s="70" t="s">
        <v>452</v>
      </c>
      <c r="C33" s="85" t="s">
        <v>453</v>
      </c>
      <c r="D33" s="69"/>
      <c r="E33" s="69"/>
      <c r="F33" s="69"/>
      <c r="G33" s="69"/>
      <c r="H33" s="69"/>
      <c r="I33" s="69"/>
      <c r="J33" s="69"/>
      <c r="K33" s="69"/>
    </row>
    <row r="34" spans="1:11" x14ac:dyDescent="0.25">
      <c r="A34" s="71">
        <v>1</v>
      </c>
      <c r="B34" s="86" t="s">
        <v>29</v>
      </c>
      <c r="C34" s="70">
        <v>1</v>
      </c>
      <c r="D34" s="69"/>
      <c r="E34" s="69"/>
      <c r="F34" s="69"/>
      <c r="G34" s="69"/>
      <c r="H34" s="69"/>
      <c r="I34" s="69"/>
      <c r="J34" s="69"/>
      <c r="K34" s="69"/>
    </row>
    <row r="35" spans="1:11" ht="54.75" customHeight="1" x14ac:dyDescent="0.25">
      <c r="A35" s="71">
        <v>2</v>
      </c>
      <c r="B35" s="86" t="s">
        <v>30</v>
      </c>
      <c r="C35" s="70" t="s">
        <v>31</v>
      </c>
      <c r="D35" s="69"/>
      <c r="E35" s="69"/>
      <c r="F35" s="69"/>
      <c r="G35" s="69"/>
      <c r="H35" s="69"/>
      <c r="I35" s="69"/>
      <c r="J35" s="69"/>
      <c r="K35" s="69"/>
    </row>
    <row r="36" spans="1:11" x14ac:dyDescent="0.25">
      <c r="A36" s="67"/>
      <c r="B36" s="69"/>
      <c r="C36" s="69"/>
      <c r="D36" s="69"/>
      <c r="E36" s="69"/>
      <c r="F36" s="69"/>
      <c r="G36" s="69"/>
      <c r="H36" s="69"/>
      <c r="I36" s="69"/>
      <c r="J36" s="69"/>
      <c r="K36" s="69"/>
    </row>
    <row r="37" spans="1:11" x14ac:dyDescent="0.25">
      <c r="A37" s="84" t="s">
        <v>32</v>
      </c>
      <c r="B37" s="68" t="s">
        <v>33</v>
      </c>
      <c r="C37" s="69"/>
      <c r="D37" s="69"/>
      <c r="E37" s="69"/>
      <c r="F37" s="69"/>
      <c r="G37" s="69"/>
      <c r="H37" s="69"/>
      <c r="I37" s="69"/>
      <c r="J37" s="69"/>
      <c r="K37" s="69"/>
    </row>
    <row r="38" spans="1:11" ht="63" x14ac:dyDescent="0.25">
      <c r="A38" s="67"/>
      <c r="B38" s="70" t="s">
        <v>454</v>
      </c>
      <c r="C38" s="85" t="s">
        <v>451</v>
      </c>
      <c r="D38" s="69"/>
      <c r="E38" s="69"/>
      <c r="F38" s="69"/>
      <c r="G38" s="69"/>
      <c r="H38" s="69"/>
      <c r="I38" s="69"/>
      <c r="J38" s="69"/>
      <c r="K38" s="69"/>
    </row>
    <row r="39" spans="1:11" x14ac:dyDescent="0.25">
      <c r="A39" s="71">
        <v>1</v>
      </c>
      <c r="B39" s="86" t="s">
        <v>29</v>
      </c>
      <c r="C39" s="70">
        <v>1</v>
      </c>
      <c r="D39" s="69"/>
      <c r="E39" s="69"/>
      <c r="F39" s="69"/>
      <c r="G39" s="69"/>
      <c r="H39" s="69"/>
      <c r="I39" s="69"/>
      <c r="J39" s="69"/>
      <c r="K39" s="69"/>
    </row>
    <row r="40" spans="1:11" ht="59.25" customHeight="1" x14ac:dyDescent="0.25">
      <c r="A40" s="71">
        <v>2</v>
      </c>
      <c r="B40" s="86" t="s">
        <v>30</v>
      </c>
      <c r="C40" s="70" t="s">
        <v>34</v>
      </c>
      <c r="D40" s="69"/>
      <c r="E40" s="69"/>
      <c r="F40" s="69"/>
      <c r="G40" s="69"/>
      <c r="H40" s="69"/>
      <c r="I40" s="69"/>
      <c r="J40" s="69"/>
      <c r="K40" s="69"/>
    </row>
    <row r="41" spans="1:11" ht="16.5" thickBot="1" x14ac:dyDescent="0.3"/>
    <row r="42" spans="1:11" ht="16.5" thickTop="1" x14ac:dyDescent="0.25">
      <c r="A42" s="1" t="s">
        <v>36</v>
      </c>
      <c r="B42" s="73" t="s">
        <v>35</v>
      </c>
      <c r="C42" s="73" t="s">
        <v>37</v>
      </c>
      <c r="D42" s="73" t="s">
        <v>42</v>
      </c>
      <c r="E42" s="2"/>
      <c r="F42" s="74"/>
    </row>
    <row r="43" spans="1:11" ht="31.5" x14ac:dyDescent="0.25">
      <c r="A43" s="75"/>
      <c r="B43" s="38" t="s">
        <v>50</v>
      </c>
      <c r="C43" s="25" t="s">
        <v>38</v>
      </c>
      <c r="D43" s="87" t="s">
        <v>40</v>
      </c>
      <c r="E43" s="25" t="s">
        <v>39</v>
      </c>
      <c r="F43" s="76" t="s">
        <v>41</v>
      </c>
    </row>
    <row r="44" spans="1:11" ht="16.5" thickBot="1" x14ac:dyDescent="0.3">
      <c r="A44" s="75">
        <v>1</v>
      </c>
      <c r="B44" s="38" t="s">
        <v>29</v>
      </c>
      <c r="C44" s="25">
        <f>IF(D2&gt;8,0,C34)</f>
        <v>0</v>
      </c>
      <c r="D44" s="88">
        <f>ROUNDUP(C44,0)</f>
        <v>0</v>
      </c>
      <c r="E44" s="25">
        <f>IF(E2&gt;8,0,C39)</f>
        <v>0</v>
      </c>
      <c r="F44" s="77">
        <f>ROUNDUP(E44,0)</f>
        <v>0</v>
      </c>
    </row>
    <row r="45" spans="1:11" ht="16.5" thickTop="1" x14ac:dyDescent="0.25">
      <c r="A45" s="75">
        <v>2</v>
      </c>
      <c r="B45" s="38" t="s">
        <v>30</v>
      </c>
      <c r="C45" s="25">
        <f>IF(D2&gt;8,1+(D2-8)/12,0)</f>
        <v>1.5833333333333335</v>
      </c>
      <c r="D45" s="88">
        <f>ROUNDUP(C45,0)</f>
        <v>2</v>
      </c>
      <c r="E45" s="25">
        <f>IF(E2&gt;8,1+(E2-8)/12,0)</f>
        <v>1.5833333333333335</v>
      </c>
      <c r="F45" s="77">
        <f>ROUNDUP(E45,0)</f>
        <v>2</v>
      </c>
      <c r="I45" s="89" t="s">
        <v>62</v>
      </c>
      <c r="J45" s="90">
        <f>IF(Calculator!C6="No",D46,D66)</f>
        <v>2</v>
      </c>
    </row>
    <row r="46" spans="1:11" ht="16.5" thickBot="1" x14ac:dyDescent="0.3">
      <c r="A46" s="78"/>
      <c r="B46" s="79" t="s">
        <v>66</v>
      </c>
      <c r="C46" s="91"/>
      <c r="D46" s="80">
        <f>SUM(D44:D45)</f>
        <v>2</v>
      </c>
      <c r="E46" s="91"/>
      <c r="F46" s="81">
        <f>SUM(F44:F45)</f>
        <v>2</v>
      </c>
      <c r="I46" s="92" t="s">
        <v>175</v>
      </c>
      <c r="J46" s="93" t="str">
        <f>Calculator!C6</f>
        <v>Yes</v>
      </c>
    </row>
    <row r="47" spans="1:11" ht="17.25" thickTop="1" thickBot="1" x14ac:dyDescent="0.3"/>
    <row r="48" spans="1:11" ht="16.5" thickTop="1" x14ac:dyDescent="0.25">
      <c r="A48" s="1" t="s">
        <v>36</v>
      </c>
      <c r="B48" s="73" t="s">
        <v>69</v>
      </c>
      <c r="C48" s="73" t="s">
        <v>37</v>
      </c>
      <c r="D48" s="73" t="s">
        <v>42</v>
      </c>
      <c r="E48" s="2"/>
      <c r="F48" s="74"/>
    </row>
    <row r="49" spans="1:10" ht="31.5" x14ac:dyDescent="0.25">
      <c r="A49" s="75"/>
      <c r="B49" s="38" t="s">
        <v>50</v>
      </c>
      <c r="C49" s="25" t="s">
        <v>38</v>
      </c>
      <c r="D49" s="87" t="s">
        <v>40</v>
      </c>
      <c r="E49" s="25" t="s">
        <v>39</v>
      </c>
      <c r="F49" s="76" t="s">
        <v>41</v>
      </c>
    </row>
    <row r="50" spans="1:10" ht="16.5" thickBot="1" x14ac:dyDescent="0.3">
      <c r="A50" s="75">
        <v>1</v>
      </c>
      <c r="B50" s="38" t="s">
        <v>15</v>
      </c>
      <c r="C50" s="25">
        <f>IF(D3&gt;8,0,C34)</f>
        <v>0</v>
      </c>
      <c r="D50" s="88">
        <f>ROUNDUP(C50,0)</f>
        <v>0</v>
      </c>
      <c r="E50" s="25">
        <f>IF(E3&gt;8,0,C39)</f>
        <v>0</v>
      </c>
      <c r="F50" s="77">
        <f>ROUNDUP(E50,0)</f>
        <v>0</v>
      </c>
    </row>
    <row r="51" spans="1:10" ht="16.5" thickTop="1" x14ac:dyDescent="0.25">
      <c r="A51" s="75">
        <v>2</v>
      </c>
      <c r="B51" s="38" t="s">
        <v>16</v>
      </c>
      <c r="C51" s="25">
        <f>IF(D3&gt;8,1+(D3-8)/12,0)</f>
        <v>1.0833333333333333</v>
      </c>
      <c r="D51" s="88">
        <f>ROUNDUP(C51,0)</f>
        <v>2</v>
      </c>
      <c r="E51" s="25">
        <f>IF(E3&gt;8,1+(E3-8)/12,0)</f>
        <v>1.0833333333333333</v>
      </c>
      <c r="F51" s="77">
        <f>ROUNDUP(E51,0)</f>
        <v>2</v>
      </c>
      <c r="I51" s="89" t="s">
        <v>62</v>
      </c>
      <c r="J51" s="90">
        <f>IF(Calculator!C6="No",D52,D75)</f>
        <v>1</v>
      </c>
    </row>
    <row r="52" spans="1:10" ht="16.5" thickBot="1" x14ac:dyDescent="0.3">
      <c r="A52" s="78"/>
      <c r="B52" s="82" t="s">
        <v>70</v>
      </c>
      <c r="C52" s="80"/>
      <c r="D52" s="80">
        <f>SUM(D50:D51)</f>
        <v>2</v>
      </c>
      <c r="E52" s="80"/>
      <c r="F52" s="81">
        <f>SUM(F50:F51)</f>
        <v>2</v>
      </c>
      <c r="I52" s="92" t="s">
        <v>174</v>
      </c>
      <c r="J52" s="93" t="str">
        <f>Calculator!C6</f>
        <v>Yes</v>
      </c>
    </row>
    <row r="53" spans="1:10" ht="16.5" thickTop="1" x14ac:dyDescent="0.25"/>
    <row r="55" spans="1:10" x14ac:dyDescent="0.25">
      <c r="A55" s="67"/>
      <c r="B55" s="68" t="s">
        <v>43</v>
      </c>
      <c r="C55" s="69"/>
      <c r="D55" s="69"/>
      <c r="E55" s="69"/>
      <c r="F55" s="69"/>
      <c r="G55" s="69"/>
    </row>
    <row r="56" spans="1:10" x14ac:dyDescent="0.25">
      <c r="A56" s="67"/>
      <c r="B56" s="68" t="s">
        <v>44</v>
      </c>
      <c r="C56" s="69"/>
      <c r="D56" s="69"/>
      <c r="E56" s="69"/>
      <c r="F56" s="69"/>
      <c r="G56" s="69"/>
    </row>
    <row r="57" spans="1:10" ht="63" x14ac:dyDescent="0.25">
      <c r="A57" s="67"/>
      <c r="B57" s="70" t="s">
        <v>452</v>
      </c>
      <c r="C57" s="85" t="s">
        <v>451</v>
      </c>
      <c r="D57" s="85" t="s">
        <v>455</v>
      </c>
      <c r="E57" s="69"/>
      <c r="F57" s="69"/>
      <c r="G57" s="69"/>
    </row>
    <row r="58" spans="1:10" x14ac:dyDescent="0.25">
      <c r="A58" s="71">
        <v>1</v>
      </c>
      <c r="B58" s="72" t="s">
        <v>45</v>
      </c>
      <c r="C58" s="67">
        <v>1</v>
      </c>
      <c r="D58" s="67">
        <v>1</v>
      </c>
      <c r="E58" s="69"/>
      <c r="F58" s="69"/>
      <c r="G58" s="69"/>
    </row>
    <row r="59" spans="1:10" ht="63" x14ac:dyDescent="0.25">
      <c r="A59" s="71">
        <v>2</v>
      </c>
      <c r="B59" s="72" t="s">
        <v>46</v>
      </c>
      <c r="C59" s="70" t="s">
        <v>47</v>
      </c>
      <c r="D59" s="70" t="s">
        <v>47</v>
      </c>
      <c r="E59" s="69"/>
      <c r="F59" s="69"/>
      <c r="G59" s="69"/>
    </row>
    <row r="61" spans="1:10" ht="16.5" thickBot="1" x14ac:dyDescent="0.3"/>
    <row r="62" spans="1:10" ht="16.5" thickTop="1" x14ac:dyDescent="0.25">
      <c r="A62" s="1" t="s">
        <v>36</v>
      </c>
      <c r="B62" s="73" t="s">
        <v>35</v>
      </c>
      <c r="C62" s="73" t="s">
        <v>37</v>
      </c>
      <c r="D62" s="73" t="s">
        <v>48</v>
      </c>
      <c r="E62" s="2"/>
      <c r="F62" s="74"/>
    </row>
    <row r="63" spans="1:10" ht="31.5" x14ac:dyDescent="0.25">
      <c r="A63" s="75"/>
      <c r="B63" s="38" t="s">
        <v>49</v>
      </c>
      <c r="C63" s="25" t="s">
        <v>38</v>
      </c>
      <c r="D63" s="87" t="s">
        <v>40</v>
      </c>
      <c r="E63" s="25" t="s">
        <v>51</v>
      </c>
      <c r="F63" s="76" t="s">
        <v>52</v>
      </c>
    </row>
    <row r="64" spans="1:10" x14ac:dyDescent="0.25">
      <c r="A64" s="75">
        <v>1</v>
      </c>
      <c r="B64" s="38" t="s">
        <v>45</v>
      </c>
      <c r="C64" s="25">
        <f>IF(D2&gt;12,0,C58)</f>
        <v>0</v>
      </c>
      <c r="D64" s="88">
        <f>ROUNDUP(C64,0)</f>
        <v>0</v>
      </c>
      <c r="E64" s="25">
        <f>IF(D2&gt;12,0,D58)</f>
        <v>0</v>
      </c>
      <c r="F64" s="77">
        <f>ROUNDUP(E64,0)</f>
        <v>0</v>
      </c>
    </row>
    <row r="65" spans="1:6" x14ac:dyDescent="0.25">
      <c r="A65" s="75">
        <v>2</v>
      </c>
      <c r="B65" s="38" t="s">
        <v>46</v>
      </c>
      <c r="C65" s="25">
        <f>IF(D2&gt;12,1+(D2-12)/12,0)</f>
        <v>1.25</v>
      </c>
      <c r="D65" s="88">
        <f>ROUNDUP(C65,0)</f>
        <v>2</v>
      </c>
      <c r="E65" s="25">
        <f>IF(D2&gt;12,1+(D2-12)/12,0)</f>
        <v>1.25</v>
      </c>
      <c r="F65" s="77">
        <f>ROUNDUP(E65,0)</f>
        <v>2</v>
      </c>
    </row>
    <row r="66" spans="1:6" x14ac:dyDescent="0.25">
      <c r="A66" s="75"/>
      <c r="B66" s="94" t="s">
        <v>66</v>
      </c>
      <c r="C66" s="95"/>
      <c r="D66" s="96">
        <f>SUM(D64:D65)</f>
        <v>2</v>
      </c>
      <c r="E66" s="95"/>
      <c r="F66" s="97">
        <f>SUM(F64:F65)</f>
        <v>2</v>
      </c>
    </row>
    <row r="67" spans="1:6" ht="31.5" x14ac:dyDescent="0.25">
      <c r="A67" s="75"/>
      <c r="B67" s="38" t="s">
        <v>53</v>
      </c>
      <c r="C67" s="25" t="s">
        <v>39</v>
      </c>
      <c r="D67" s="87" t="s">
        <v>41</v>
      </c>
      <c r="E67" s="38"/>
      <c r="F67" s="98"/>
    </row>
    <row r="68" spans="1:6" x14ac:dyDescent="0.25">
      <c r="A68" s="75">
        <v>1</v>
      </c>
      <c r="B68" s="38" t="s">
        <v>29</v>
      </c>
      <c r="C68" s="25">
        <f>E44</f>
        <v>0</v>
      </c>
      <c r="D68" s="88">
        <f>ROUNDUP(C68,0)</f>
        <v>0</v>
      </c>
      <c r="E68" s="38" t="s">
        <v>67</v>
      </c>
      <c r="F68" s="98"/>
    </row>
    <row r="69" spans="1:6" ht="16.5" thickBot="1" x14ac:dyDescent="0.3">
      <c r="A69" s="78">
        <v>2</v>
      </c>
      <c r="B69" s="43" t="s">
        <v>30</v>
      </c>
      <c r="C69" s="44">
        <f>E45</f>
        <v>1.5833333333333335</v>
      </c>
      <c r="D69" s="99">
        <f>ROUNDUP(C69,0)</f>
        <v>2</v>
      </c>
      <c r="E69" s="43" t="s">
        <v>67</v>
      </c>
      <c r="F69" s="100"/>
    </row>
    <row r="70" spans="1:6" ht="17.25" thickTop="1" thickBot="1" x14ac:dyDescent="0.3"/>
    <row r="71" spans="1:6" ht="16.5" thickTop="1" x14ac:dyDescent="0.25">
      <c r="A71" s="1" t="s">
        <v>36</v>
      </c>
      <c r="B71" s="73" t="s">
        <v>69</v>
      </c>
      <c r="C71" s="73" t="s">
        <v>37</v>
      </c>
      <c r="D71" s="73" t="s">
        <v>48</v>
      </c>
      <c r="E71" s="2"/>
      <c r="F71" s="74"/>
    </row>
    <row r="72" spans="1:6" ht="31.5" x14ac:dyDescent="0.25">
      <c r="A72" s="75"/>
      <c r="B72" s="38" t="s">
        <v>49</v>
      </c>
      <c r="C72" s="25" t="s">
        <v>38</v>
      </c>
      <c r="D72" s="87" t="s">
        <v>40</v>
      </c>
      <c r="E72" s="25" t="s">
        <v>51</v>
      </c>
      <c r="F72" s="76" t="s">
        <v>52</v>
      </c>
    </row>
    <row r="73" spans="1:6" x14ac:dyDescent="0.25">
      <c r="A73" s="75">
        <v>1</v>
      </c>
      <c r="B73" s="38" t="s">
        <v>45</v>
      </c>
      <c r="C73" s="25">
        <f>IF(D3&gt;12,0,C58)</f>
        <v>1</v>
      </c>
      <c r="D73" s="88">
        <f>ROUNDUP(C73,0)</f>
        <v>1</v>
      </c>
      <c r="E73" s="25">
        <f>IF(D3&gt;12,0,D58)</f>
        <v>1</v>
      </c>
      <c r="F73" s="77">
        <f>ROUNDUP(E73,0)</f>
        <v>1</v>
      </c>
    </row>
    <row r="74" spans="1:6" x14ac:dyDescent="0.25">
      <c r="A74" s="75">
        <v>2</v>
      </c>
      <c r="B74" s="38" t="s">
        <v>46</v>
      </c>
      <c r="C74" s="25">
        <f>IF(D3&gt;12,1+(D3-12)/12,0)</f>
        <v>0</v>
      </c>
      <c r="D74" s="88">
        <f>ROUNDUP(C74,0)</f>
        <v>0</v>
      </c>
      <c r="E74" s="25">
        <f>IF(D3&gt;12,1+(D3-12)/12,0)</f>
        <v>0</v>
      </c>
      <c r="F74" s="77">
        <f>ROUNDUP(E74,0)</f>
        <v>0</v>
      </c>
    </row>
    <row r="75" spans="1:6" x14ac:dyDescent="0.25">
      <c r="A75" s="75"/>
      <c r="B75" s="95" t="s">
        <v>70</v>
      </c>
      <c r="C75" s="96"/>
      <c r="D75" s="96">
        <f>SUM(D73:D74)</f>
        <v>1</v>
      </c>
      <c r="E75" s="96"/>
      <c r="F75" s="97">
        <f>SUM(F73:F74)</f>
        <v>1</v>
      </c>
    </row>
    <row r="76" spans="1:6" ht="31.5" x14ac:dyDescent="0.25">
      <c r="A76" s="75"/>
      <c r="B76" s="101" t="s">
        <v>72</v>
      </c>
      <c r="C76" s="25" t="s">
        <v>39</v>
      </c>
      <c r="D76" s="87" t="s">
        <v>41</v>
      </c>
      <c r="E76" s="38"/>
      <c r="F76" s="98"/>
    </row>
    <row r="77" spans="1:6" x14ac:dyDescent="0.25">
      <c r="A77" s="75">
        <v>1</v>
      </c>
      <c r="B77" s="38" t="s">
        <v>15</v>
      </c>
      <c r="C77" s="25">
        <f>E50</f>
        <v>0</v>
      </c>
      <c r="D77" s="88">
        <f>ROUNDUP(C77,0)</f>
        <v>0</v>
      </c>
      <c r="E77" s="38" t="s">
        <v>67</v>
      </c>
      <c r="F77" s="98"/>
    </row>
    <row r="78" spans="1:6" ht="16.5" thickBot="1" x14ac:dyDescent="0.3">
      <c r="A78" s="78">
        <v>2</v>
      </c>
      <c r="B78" s="43" t="s">
        <v>16</v>
      </c>
      <c r="C78" s="44">
        <f>E51</f>
        <v>1.0833333333333333</v>
      </c>
      <c r="D78" s="99">
        <f>ROUNDUP(C78,0)</f>
        <v>2</v>
      </c>
      <c r="E78" s="43" t="s">
        <v>67</v>
      </c>
      <c r="F78" s="100"/>
    </row>
    <row r="79" spans="1:6" ht="16.5" thickTop="1" x14ac:dyDescent="0.25"/>
    <row r="81" spans="1:6" x14ac:dyDescent="0.25">
      <c r="A81" s="67"/>
      <c r="B81" s="68" t="s">
        <v>54</v>
      </c>
      <c r="C81" s="69"/>
      <c r="D81" s="69"/>
      <c r="E81" s="69"/>
      <c r="F81" s="69"/>
    </row>
    <row r="82" spans="1:6" x14ac:dyDescent="0.25">
      <c r="A82" s="67"/>
      <c r="B82" s="68" t="s">
        <v>55</v>
      </c>
      <c r="C82" s="69"/>
      <c r="D82" s="69"/>
      <c r="E82" s="69"/>
      <c r="F82" s="69"/>
    </row>
    <row r="83" spans="1:6" ht="47.25" x14ac:dyDescent="0.25">
      <c r="A83" s="67"/>
      <c r="B83" s="70" t="s">
        <v>456</v>
      </c>
      <c r="C83" s="70" t="s">
        <v>457</v>
      </c>
      <c r="D83" s="70" t="s">
        <v>458</v>
      </c>
      <c r="E83" s="69"/>
      <c r="F83" s="69"/>
    </row>
    <row r="84" spans="1:6" x14ac:dyDescent="0.25">
      <c r="A84" s="71">
        <v>1</v>
      </c>
      <c r="B84" s="72" t="s">
        <v>29</v>
      </c>
      <c r="C84" s="67">
        <v>1</v>
      </c>
      <c r="D84" s="67">
        <v>1</v>
      </c>
      <c r="E84" s="69"/>
      <c r="F84" s="69"/>
    </row>
    <row r="85" spans="1:6" ht="74.25" customHeight="1" x14ac:dyDescent="0.25">
      <c r="A85" s="71">
        <v>2</v>
      </c>
      <c r="B85" s="72" t="s">
        <v>30</v>
      </c>
      <c r="C85" s="70" t="s">
        <v>56</v>
      </c>
      <c r="D85" s="70" t="s">
        <v>56</v>
      </c>
      <c r="E85" s="69"/>
      <c r="F85" s="69"/>
    </row>
    <row r="86" spans="1:6" ht="16.5" thickBot="1" x14ac:dyDescent="0.3"/>
    <row r="87" spans="1:6" ht="16.5" thickTop="1" x14ac:dyDescent="0.25">
      <c r="A87" s="1" t="s">
        <v>36</v>
      </c>
      <c r="B87" s="73" t="s">
        <v>35</v>
      </c>
      <c r="C87" s="2"/>
      <c r="D87" s="2"/>
      <c r="E87" s="2"/>
      <c r="F87" s="74"/>
    </row>
    <row r="88" spans="1:6" ht="31.5" x14ac:dyDescent="0.25">
      <c r="A88" s="75"/>
      <c r="B88" s="38" t="s">
        <v>0</v>
      </c>
      <c r="C88" s="25" t="s">
        <v>133</v>
      </c>
      <c r="D88" s="87" t="s">
        <v>139</v>
      </c>
      <c r="E88" s="87" t="s">
        <v>140</v>
      </c>
      <c r="F88" s="76" t="s">
        <v>141</v>
      </c>
    </row>
    <row r="89" spans="1:6" x14ac:dyDescent="0.25">
      <c r="A89" s="75">
        <v>1</v>
      </c>
      <c r="B89" s="38" t="s">
        <v>15</v>
      </c>
      <c r="C89" s="25">
        <f>IF(C2&gt;8,0,C84)</f>
        <v>0</v>
      </c>
      <c r="D89" s="88">
        <f>ROUNDUP(C89,0)</f>
        <v>0</v>
      </c>
      <c r="E89" s="25">
        <f>IF(C2&gt;8,0,D84)</f>
        <v>0</v>
      </c>
      <c r="F89" s="77">
        <f>ROUNDUP(E89,0)</f>
        <v>0</v>
      </c>
    </row>
    <row r="90" spans="1:6" x14ac:dyDescent="0.25">
      <c r="A90" s="75">
        <v>2</v>
      </c>
      <c r="B90" s="38" t="s">
        <v>16</v>
      </c>
      <c r="C90" s="25">
        <f>IF(C2&gt;8,1+(C2-8)/12,0)</f>
        <v>2.833333333333333</v>
      </c>
      <c r="D90" s="88">
        <f>ROUNDUP(C90,0)</f>
        <v>3</v>
      </c>
      <c r="E90" s="25">
        <f>IF(C2&gt;8,1+(C2-8)/12,0)</f>
        <v>2.833333333333333</v>
      </c>
      <c r="F90" s="77">
        <f>ROUNDUP(E90,0)</f>
        <v>3</v>
      </c>
    </row>
    <row r="91" spans="1:6" ht="16.5" thickBot="1" x14ac:dyDescent="0.3">
      <c r="A91" s="78"/>
      <c r="B91" s="79" t="s">
        <v>66</v>
      </c>
      <c r="C91" s="82"/>
      <c r="D91" s="80">
        <f>SUM(D89:D90)</f>
        <v>3</v>
      </c>
      <c r="E91" s="82"/>
      <c r="F91" s="81">
        <f>SUM(F89:F90)</f>
        <v>3</v>
      </c>
    </row>
    <row r="92" spans="1:6" ht="17.25" thickTop="1" thickBot="1" x14ac:dyDescent="0.3"/>
    <row r="93" spans="1:6" ht="16.5" thickTop="1" x14ac:dyDescent="0.25">
      <c r="A93" s="1" t="s">
        <v>36</v>
      </c>
      <c r="B93" s="73" t="s">
        <v>69</v>
      </c>
      <c r="C93" s="2"/>
      <c r="D93" s="2"/>
      <c r="E93" s="2"/>
      <c r="F93" s="74"/>
    </row>
    <row r="94" spans="1:6" ht="31.5" x14ac:dyDescent="0.25">
      <c r="A94" s="75"/>
      <c r="B94" s="38" t="s">
        <v>0</v>
      </c>
      <c r="C94" s="25" t="s">
        <v>133</v>
      </c>
      <c r="D94" s="87" t="s">
        <v>139</v>
      </c>
      <c r="E94" s="87" t="s">
        <v>140</v>
      </c>
      <c r="F94" s="76" t="s">
        <v>141</v>
      </c>
    </row>
    <row r="95" spans="1:6" x14ac:dyDescent="0.25">
      <c r="A95" s="75">
        <v>1</v>
      </c>
      <c r="B95" s="38" t="s">
        <v>15</v>
      </c>
      <c r="C95" s="25">
        <f>IF(C3&gt;8,0,C84)</f>
        <v>0</v>
      </c>
      <c r="D95" s="88">
        <f>ROUNDUP(C95,0)</f>
        <v>0</v>
      </c>
      <c r="E95" s="25">
        <f>IF(C3&gt;8,0,D84)</f>
        <v>0</v>
      </c>
      <c r="F95" s="77">
        <f>ROUNDUP(E95,0)</f>
        <v>0</v>
      </c>
    </row>
    <row r="96" spans="1:6" x14ac:dyDescent="0.25">
      <c r="A96" s="75">
        <v>2</v>
      </c>
      <c r="B96" s="38" t="s">
        <v>16</v>
      </c>
      <c r="C96" s="25">
        <f>IF(C3&gt;8,1+(C3-8)/12,0)</f>
        <v>1.75</v>
      </c>
      <c r="D96" s="88">
        <f>ROUNDUP(C96,0)</f>
        <v>2</v>
      </c>
      <c r="E96" s="25">
        <f>IF(C3&gt;8,1+(C3-8)/12,0)</f>
        <v>1.75</v>
      </c>
      <c r="F96" s="77">
        <f>ROUNDUP(E96,0)</f>
        <v>2</v>
      </c>
    </row>
    <row r="97" spans="1:6" ht="16.5" thickBot="1" x14ac:dyDescent="0.3">
      <c r="A97" s="78"/>
      <c r="B97" s="82" t="s">
        <v>70</v>
      </c>
      <c r="C97" s="80"/>
      <c r="D97" s="80">
        <f>SUM(D95:D96)</f>
        <v>2</v>
      </c>
      <c r="E97" s="80"/>
      <c r="F97" s="81">
        <f>SUM(F95:F96)</f>
        <v>2</v>
      </c>
    </row>
    <row r="98" spans="1:6" ht="16.5" thickTop="1" x14ac:dyDescent="0.25"/>
  </sheetData>
  <sheetProtection algorithmName="SHA-512" hashValue="CEEdsfLnzVsZfC84LiZbxNYxLyB720FkVRQmgHLts/liG/yMdrWL2j3dakFVtAz2H1KuJXmCm/cZQjY2YdcR7w==" saltValue="u3W+uWW2dvJxGbLG0AQtkQ==" spinCount="100000" sheet="1" objects="1" scenarios="1"/>
  <mergeCells count="2">
    <mergeCell ref="C14:D14"/>
    <mergeCell ref="C21:D21"/>
  </mergeCells>
  <phoneticPr fontId="1" type="noConversion"/>
  <pageMargins left="0.70866141732283472" right="0.70866141732283472" top="0.74803149606299213" bottom="0.74803149606299213" header="0.31496062992125984" footer="0.31496062992125984"/>
  <pageSetup paperSize="8" scale="94" fitToHeight="0" orientation="portrait" horizontalDpi="4294967293" r:id="rId1"/>
  <rowBreaks count="1" manualBreakCount="1">
    <brk id="5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2"/>
  <sheetViews>
    <sheetView view="pageBreakPreview" zoomScaleNormal="100" zoomScaleSheetLayoutView="100" workbookViewId="0">
      <pane ySplit="6" topLeftCell="A7" activePane="bottomLeft" state="frozen"/>
      <selection pane="bottomLeft" activeCell="F3" sqref="F3"/>
    </sheetView>
  </sheetViews>
  <sheetFormatPr defaultRowHeight="15.75" x14ac:dyDescent="0.25"/>
  <cols>
    <col min="1" max="1" width="9.75" style="3" customWidth="1"/>
    <col min="2" max="2" width="15.75" style="3" customWidth="1"/>
    <col min="3" max="3" width="16.625" style="3" customWidth="1"/>
    <col min="4" max="4" width="15.625" style="3" customWidth="1"/>
    <col min="5" max="5" width="15.875" style="3" customWidth="1"/>
    <col min="6" max="6" width="13.125" style="3" customWidth="1"/>
    <col min="7" max="7" width="12" style="3" customWidth="1"/>
    <col min="8" max="16384" width="9" style="3"/>
  </cols>
  <sheetData>
    <row r="1" spans="1:7" x14ac:dyDescent="0.25">
      <c r="B1" s="61" t="s">
        <v>3</v>
      </c>
      <c r="C1" s="62" t="s">
        <v>0</v>
      </c>
      <c r="D1" s="62" t="s">
        <v>1</v>
      </c>
      <c r="E1" s="63" t="s">
        <v>2</v>
      </c>
    </row>
    <row r="2" spans="1:7" x14ac:dyDescent="0.25">
      <c r="B2" s="64" t="s">
        <v>78</v>
      </c>
      <c r="C2" s="65">
        <f>Calculator!I13</f>
        <v>445</v>
      </c>
      <c r="D2" s="65">
        <f>Calculator!K13</f>
        <v>223</v>
      </c>
      <c r="E2" s="66">
        <f>Calculator!M13</f>
        <v>223</v>
      </c>
    </row>
    <row r="3" spans="1:7" x14ac:dyDescent="0.25">
      <c r="B3" s="64" t="s">
        <v>79</v>
      </c>
      <c r="C3" s="65">
        <f>Calculator!I14</f>
        <v>112</v>
      </c>
      <c r="D3" s="65">
        <f>Calculator!K14</f>
        <v>56</v>
      </c>
      <c r="E3" s="66">
        <f>Calculator!M14</f>
        <v>56</v>
      </c>
    </row>
    <row r="4" spans="1:7" x14ac:dyDescent="0.25">
      <c r="B4" s="64" t="s">
        <v>80</v>
      </c>
      <c r="C4" s="65">
        <f>Calculator!I15</f>
        <v>20</v>
      </c>
      <c r="D4" s="65">
        <f>Calculator!K15</f>
        <v>10</v>
      </c>
      <c r="E4" s="66">
        <f>Calculator!M15</f>
        <v>10</v>
      </c>
    </row>
    <row r="5" spans="1:7" x14ac:dyDescent="0.25">
      <c r="B5" s="64" t="s">
        <v>81</v>
      </c>
      <c r="C5" s="65">
        <f>Calculator!I16</f>
        <v>47</v>
      </c>
      <c r="D5" s="65">
        <f>Calculator!K16</f>
        <v>24</v>
      </c>
      <c r="E5" s="66">
        <f>Calculator!M16</f>
        <v>24</v>
      </c>
    </row>
    <row r="6" spans="1:7" x14ac:dyDescent="0.25">
      <c r="B6" s="64" t="s">
        <v>82</v>
      </c>
      <c r="C6" s="65">
        <f>Calculator!I17</f>
        <v>178</v>
      </c>
      <c r="D6" s="65">
        <f>Calculator!K17</f>
        <v>89</v>
      </c>
      <c r="E6" s="66">
        <f>Calculator!M17</f>
        <v>89</v>
      </c>
    </row>
    <row r="7" spans="1:7" ht="16.5" thickBot="1" x14ac:dyDescent="0.3"/>
    <row r="8" spans="1:7" ht="16.5" thickTop="1" x14ac:dyDescent="0.25">
      <c r="A8" s="102" t="s">
        <v>36</v>
      </c>
      <c r="B8" s="103" t="s">
        <v>126</v>
      </c>
      <c r="C8" s="104"/>
      <c r="D8" s="74"/>
    </row>
    <row r="9" spans="1:7" x14ac:dyDescent="0.25">
      <c r="A9" s="105"/>
      <c r="B9" s="38"/>
      <c r="C9" s="131" t="s">
        <v>65</v>
      </c>
      <c r="D9" s="132"/>
    </row>
    <row r="10" spans="1:7" x14ac:dyDescent="0.25">
      <c r="A10" s="105"/>
      <c r="B10" s="38" t="s">
        <v>0</v>
      </c>
      <c r="C10" s="25" t="s">
        <v>132</v>
      </c>
      <c r="D10" s="76" t="s">
        <v>133</v>
      </c>
    </row>
    <row r="11" spans="1:7" ht="16.5" thickBot="1" x14ac:dyDescent="0.3">
      <c r="A11" s="106">
        <v>1</v>
      </c>
      <c r="B11" s="107" t="s">
        <v>125</v>
      </c>
      <c r="C11" s="50">
        <v>1</v>
      </c>
      <c r="D11" s="108">
        <v>1</v>
      </c>
    </row>
    <row r="12" spans="1:7" ht="16.5" thickTop="1" x14ac:dyDescent="0.25"/>
    <row r="15" spans="1:7" x14ac:dyDescent="0.25">
      <c r="A15" s="69"/>
      <c r="B15" s="109" t="s">
        <v>83</v>
      </c>
      <c r="C15" s="69"/>
      <c r="D15" s="69"/>
      <c r="E15" s="69"/>
      <c r="F15" s="69"/>
      <c r="G15" s="69"/>
    </row>
    <row r="16" spans="1:7" x14ac:dyDescent="0.25">
      <c r="A16" s="69"/>
      <c r="B16" s="68" t="s">
        <v>84</v>
      </c>
      <c r="C16" s="69"/>
      <c r="D16" s="69"/>
      <c r="E16" s="69"/>
      <c r="F16" s="69"/>
      <c r="G16" s="69"/>
    </row>
    <row r="17" spans="1:7" x14ac:dyDescent="0.25">
      <c r="A17" s="69"/>
      <c r="B17" s="110" t="s">
        <v>85</v>
      </c>
      <c r="C17" s="110" t="s">
        <v>86</v>
      </c>
      <c r="D17" s="110" t="s">
        <v>87</v>
      </c>
      <c r="E17" s="69"/>
      <c r="F17" s="69"/>
      <c r="G17" s="69"/>
    </row>
    <row r="18" spans="1:7" ht="47.25" x14ac:dyDescent="0.25">
      <c r="A18" s="69"/>
      <c r="B18" s="70" t="s">
        <v>88</v>
      </c>
      <c r="C18" s="85" t="s">
        <v>89</v>
      </c>
      <c r="D18" s="85" t="s">
        <v>90</v>
      </c>
      <c r="E18" s="69"/>
      <c r="F18" s="69"/>
      <c r="G18" s="69"/>
    </row>
    <row r="19" spans="1:7" x14ac:dyDescent="0.25">
      <c r="A19" s="71">
        <v>1</v>
      </c>
      <c r="B19" s="69" t="s">
        <v>102</v>
      </c>
      <c r="C19" s="67">
        <v>1</v>
      </c>
      <c r="D19" s="67">
        <v>0</v>
      </c>
      <c r="E19" s="69"/>
      <c r="F19" s="69"/>
      <c r="G19" s="69"/>
    </row>
    <row r="20" spans="1:7" ht="72" customHeight="1" x14ac:dyDescent="0.25">
      <c r="A20" s="71">
        <v>2</v>
      </c>
      <c r="B20" s="111" t="s">
        <v>91</v>
      </c>
      <c r="C20" s="85" t="s">
        <v>93</v>
      </c>
      <c r="D20" s="85" t="s">
        <v>94</v>
      </c>
      <c r="E20" s="69"/>
      <c r="F20" s="69"/>
      <c r="G20" s="69"/>
    </row>
    <row r="21" spans="1:7" ht="74.25" customHeight="1" x14ac:dyDescent="0.25">
      <c r="A21" s="71">
        <v>3</v>
      </c>
      <c r="B21" s="111" t="s">
        <v>129</v>
      </c>
      <c r="C21" s="85" t="s">
        <v>95</v>
      </c>
      <c r="D21" s="85" t="s">
        <v>96</v>
      </c>
      <c r="E21" s="69"/>
      <c r="F21" s="69"/>
      <c r="G21" s="69"/>
    </row>
    <row r="22" spans="1:7" ht="10.5" customHeight="1" x14ac:dyDescent="0.25"/>
    <row r="23" spans="1:7" ht="16.5" thickBot="1" x14ac:dyDescent="0.3"/>
    <row r="24" spans="1:7" ht="16.5" thickTop="1" x14ac:dyDescent="0.25">
      <c r="A24" s="1" t="s">
        <v>36</v>
      </c>
      <c r="B24" s="73" t="s">
        <v>127</v>
      </c>
      <c r="C24" s="2"/>
      <c r="D24" s="2"/>
      <c r="E24" s="2"/>
      <c r="F24" s="74"/>
    </row>
    <row r="25" spans="1:7" ht="31.5" x14ac:dyDescent="0.25">
      <c r="A25" s="112"/>
      <c r="B25" s="38" t="s">
        <v>49</v>
      </c>
      <c r="C25" s="25" t="s">
        <v>38</v>
      </c>
      <c r="D25" s="87" t="s">
        <v>40</v>
      </c>
      <c r="E25" s="25" t="s">
        <v>51</v>
      </c>
      <c r="F25" s="76" t="s">
        <v>52</v>
      </c>
    </row>
    <row r="26" spans="1:7" x14ac:dyDescent="0.25">
      <c r="A26" s="75">
        <v>1</v>
      </c>
      <c r="B26" s="101" t="s">
        <v>102</v>
      </c>
      <c r="C26" s="25">
        <f>IF(D2&gt;10,0,C19)</f>
        <v>0</v>
      </c>
      <c r="D26" s="88">
        <f>ROUNDUP(C26,0)</f>
        <v>0</v>
      </c>
      <c r="E26" s="25">
        <f>IF(D2&gt;10,0,D19)</f>
        <v>0</v>
      </c>
      <c r="F26" s="77">
        <f>ROUNDUP(E26,0)</f>
        <v>0</v>
      </c>
    </row>
    <row r="27" spans="1:7" x14ac:dyDescent="0.25">
      <c r="A27" s="75">
        <v>2</v>
      </c>
      <c r="B27" s="101" t="s">
        <v>128</v>
      </c>
      <c r="C27" s="25">
        <f>IF(AND(D2&gt;10,D2&lt;101),D2/25,0)</f>
        <v>0</v>
      </c>
      <c r="D27" s="88">
        <f>ROUNDUP(C27,0)</f>
        <v>0</v>
      </c>
      <c r="E27" s="25">
        <f>IF(AND(D2&gt;10,D2&lt;101),D2/50,0)</f>
        <v>0</v>
      </c>
      <c r="F27" s="77">
        <f>ROUNDUP(E27,0)</f>
        <v>0</v>
      </c>
    </row>
    <row r="28" spans="1:7" x14ac:dyDescent="0.25">
      <c r="A28" s="75">
        <v>3</v>
      </c>
      <c r="B28" s="101" t="s">
        <v>92</v>
      </c>
      <c r="C28" s="25">
        <f>IF(D2&gt;100,4+(D2-100)/50,0)</f>
        <v>6.46</v>
      </c>
      <c r="D28" s="88">
        <f>ROUNDUP(C28,0)</f>
        <v>7</v>
      </c>
      <c r="E28" s="25">
        <f>IF(D2&gt;100,2+(D2-100)/50,0)</f>
        <v>4.46</v>
      </c>
      <c r="F28" s="77">
        <f>ROUNDUP(E28,0)</f>
        <v>5</v>
      </c>
    </row>
    <row r="29" spans="1:7" ht="16.5" thickBot="1" x14ac:dyDescent="0.3">
      <c r="A29" s="113"/>
      <c r="B29" s="79" t="s">
        <v>66</v>
      </c>
      <c r="C29" s="82"/>
      <c r="D29" s="80">
        <f>SUM(D26:D28)</f>
        <v>7</v>
      </c>
      <c r="E29" s="82"/>
      <c r="F29" s="81">
        <f>SUM(F26:F28)</f>
        <v>5</v>
      </c>
    </row>
    <row r="30" spans="1:7" ht="17.25" thickTop="1" thickBot="1" x14ac:dyDescent="0.3"/>
    <row r="31" spans="1:7" ht="16.5" thickTop="1" x14ac:dyDescent="0.25">
      <c r="A31" s="1" t="s">
        <v>36</v>
      </c>
      <c r="B31" s="73" t="s">
        <v>148</v>
      </c>
      <c r="C31" s="2"/>
      <c r="D31" s="2"/>
      <c r="E31" s="2"/>
      <c r="F31" s="74"/>
    </row>
    <row r="32" spans="1:7" ht="31.5" x14ac:dyDescent="0.25">
      <c r="A32" s="112"/>
      <c r="B32" s="38" t="s">
        <v>49</v>
      </c>
      <c r="C32" s="25" t="s">
        <v>38</v>
      </c>
      <c r="D32" s="87" t="s">
        <v>40</v>
      </c>
      <c r="E32" s="25" t="s">
        <v>51</v>
      </c>
      <c r="F32" s="76" t="s">
        <v>52</v>
      </c>
    </row>
    <row r="33" spans="1:6" x14ac:dyDescent="0.25">
      <c r="A33" s="75">
        <v>1</v>
      </c>
      <c r="B33" s="101" t="s">
        <v>102</v>
      </c>
      <c r="C33" s="25">
        <f>IF(D3&gt;10,0,C19)</f>
        <v>0</v>
      </c>
      <c r="D33" s="88">
        <f>ROUNDUP(C33,0)</f>
        <v>0</v>
      </c>
      <c r="E33" s="25">
        <f>IF(D3&gt;10,0,D19)</f>
        <v>0</v>
      </c>
      <c r="F33" s="77">
        <f>ROUNDUP(E33,0)</f>
        <v>0</v>
      </c>
    </row>
    <row r="34" spans="1:6" x14ac:dyDescent="0.25">
      <c r="A34" s="75">
        <v>2</v>
      </c>
      <c r="B34" s="101" t="s">
        <v>128</v>
      </c>
      <c r="C34" s="25">
        <f>IF(AND(D3&gt;10,D3&lt;101),D3/25,0)</f>
        <v>2.2400000000000002</v>
      </c>
      <c r="D34" s="88">
        <f>ROUNDUP(C34,0)</f>
        <v>3</v>
      </c>
      <c r="E34" s="25">
        <f>IF(AND(D3&gt;10,D3&lt;101),D3/50,0)</f>
        <v>1.1200000000000001</v>
      </c>
      <c r="F34" s="77">
        <f>ROUNDUP(E34,0)</f>
        <v>2</v>
      </c>
    </row>
    <row r="35" spans="1:6" x14ac:dyDescent="0.25">
      <c r="A35" s="75">
        <v>3</v>
      </c>
      <c r="B35" s="101" t="s">
        <v>92</v>
      </c>
      <c r="C35" s="25">
        <f>IF(D3&gt;100,4+(D3-100)/50,0)</f>
        <v>0</v>
      </c>
      <c r="D35" s="88">
        <f>ROUNDUP(C35,0)</f>
        <v>0</v>
      </c>
      <c r="E35" s="25">
        <f>IF(D3&gt;100,2+(D3-100)/50,0)</f>
        <v>0</v>
      </c>
      <c r="F35" s="77">
        <f>ROUNDUP(E35,0)</f>
        <v>0</v>
      </c>
    </row>
    <row r="36" spans="1:6" ht="16.5" thickBot="1" x14ac:dyDescent="0.3">
      <c r="A36" s="113"/>
      <c r="B36" s="79" t="s">
        <v>66</v>
      </c>
      <c r="C36" s="82"/>
      <c r="D36" s="80">
        <f>SUM(D33:D35)</f>
        <v>3</v>
      </c>
      <c r="E36" s="82"/>
      <c r="F36" s="81">
        <f>SUM(F33:F35)</f>
        <v>2</v>
      </c>
    </row>
    <row r="37" spans="1:6" ht="17.25" thickTop="1" thickBot="1" x14ac:dyDescent="0.3"/>
    <row r="38" spans="1:6" ht="16.5" thickTop="1" x14ac:dyDescent="0.25">
      <c r="A38" s="1" t="s">
        <v>36</v>
      </c>
      <c r="B38" s="73" t="s">
        <v>149</v>
      </c>
      <c r="C38" s="2"/>
      <c r="D38" s="2"/>
      <c r="E38" s="2"/>
      <c r="F38" s="74"/>
    </row>
    <row r="39" spans="1:6" ht="31.5" x14ac:dyDescent="0.25">
      <c r="A39" s="112"/>
      <c r="B39" s="38" t="s">
        <v>49</v>
      </c>
      <c r="C39" s="25" t="s">
        <v>38</v>
      </c>
      <c r="D39" s="87" t="s">
        <v>40</v>
      </c>
      <c r="E39" s="25" t="s">
        <v>51</v>
      </c>
      <c r="F39" s="76" t="s">
        <v>52</v>
      </c>
    </row>
    <row r="40" spans="1:6" x14ac:dyDescent="0.25">
      <c r="A40" s="75">
        <v>1</v>
      </c>
      <c r="B40" s="101" t="s">
        <v>102</v>
      </c>
      <c r="C40" s="25">
        <f>IF(D4&gt;10,0,C19)</f>
        <v>1</v>
      </c>
      <c r="D40" s="88">
        <f>ROUNDUP(C40,0)</f>
        <v>1</v>
      </c>
      <c r="E40" s="25">
        <f>IF(D4&gt;10,0,D19)</f>
        <v>0</v>
      </c>
      <c r="F40" s="77">
        <f>ROUNDUP(E40,0)</f>
        <v>0</v>
      </c>
    </row>
    <row r="41" spans="1:6" x14ac:dyDescent="0.25">
      <c r="A41" s="75">
        <v>2</v>
      </c>
      <c r="B41" s="101" t="s">
        <v>128</v>
      </c>
      <c r="C41" s="25">
        <f>IF(AND(D4&gt;10,D4&lt;101),D4/25,0)</f>
        <v>0</v>
      </c>
      <c r="D41" s="88">
        <f>ROUNDUP(C41,0)</f>
        <v>0</v>
      </c>
      <c r="E41" s="25">
        <f>IF(AND(D4&gt;10,D4&lt;101),D4/50,0)</f>
        <v>0</v>
      </c>
      <c r="F41" s="77">
        <f>ROUNDUP(E41,0)</f>
        <v>0</v>
      </c>
    </row>
    <row r="42" spans="1:6" x14ac:dyDescent="0.25">
      <c r="A42" s="75">
        <v>3</v>
      </c>
      <c r="B42" s="101" t="s">
        <v>92</v>
      </c>
      <c r="C42" s="25">
        <f>IF(D4&gt;100,4+(D4-100)/50,0)</f>
        <v>0</v>
      </c>
      <c r="D42" s="88">
        <f>ROUNDUP(C42,0)</f>
        <v>0</v>
      </c>
      <c r="E42" s="25">
        <f>IF(D4&gt;100,2+(D4-100)/50,0)</f>
        <v>0</v>
      </c>
      <c r="F42" s="77">
        <f>ROUNDUP(E42,0)</f>
        <v>0</v>
      </c>
    </row>
    <row r="43" spans="1:6" ht="16.5" thickBot="1" x14ac:dyDescent="0.3">
      <c r="A43" s="113"/>
      <c r="B43" s="79" t="s">
        <v>66</v>
      </c>
      <c r="C43" s="82"/>
      <c r="D43" s="80">
        <f>SUM(D40:D42)</f>
        <v>1</v>
      </c>
      <c r="E43" s="82"/>
      <c r="F43" s="81">
        <f>SUM(F40:F42)</f>
        <v>0</v>
      </c>
    </row>
    <row r="44" spans="1:6" ht="17.25" thickTop="1" thickBot="1" x14ac:dyDescent="0.3"/>
    <row r="45" spans="1:6" ht="16.5" thickTop="1" x14ac:dyDescent="0.25">
      <c r="A45" s="1" t="s">
        <v>36</v>
      </c>
      <c r="B45" s="73" t="s">
        <v>150</v>
      </c>
      <c r="C45" s="2"/>
      <c r="D45" s="2"/>
      <c r="E45" s="2"/>
      <c r="F45" s="74"/>
    </row>
    <row r="46" spans="1:6" ht="31.5" x14ac:dyDescent="0.25">
      <c r="A46" s="112"/>
      <c r="B46" s="38" t="s">
        <v>49</v>
      </c>
      <c r="C46" s="25" t="s">
        <v>38</v>
      </c>
      <c r="D46" s="87" t="s">
        <v>40</v>
      </c>
      <c r="E46" s="25" t="s">
        <v>51</v>
      </c>
      <c r="F46" s="76" t="s">
        <v>52</v>
      </c>
    </row>
    <row r="47" spans="1:6" x14ac:dyDescent="0.25">
      <c r="A47" s="75">
        <v>1</v>
      </c>
      <c r="B47" s="101" t="s">
        <v>102</v>
      </c>
      <c r="C47" s="25">
        <f>IF(D5&gt;10,0,C19)</f>
        <v>0</v>
      </c>
      <c r="D47" s="88">
        <f>ROUNDUP(C47,0)</f>
        <v>0</v>
      </c>
      <c r="E47" s="25">
        <f>IF(D5&gt;10,0,D19)</f>
        <v>0</v>
      </c>
      <c r="F47" s="77">
        <f>ROUNDUP(E47,0)</f>
        <v>0</v>
      </c>
    </row>
    <row r="48" spans="1:6" x14ac:dyDescent="0.25">
      <c r="A48" s="75">
        <v>2</v>
      </c>
      <c r="B48" s="101" t="s">
        <v>128</v>
      </c>
      <c r="C48" s="25">
        <f>IF(AND(D5&gt;10,D5&lt;101),D5/25,0)</f>
        <v>0.96</v>
      </c>
      <c r="D48" s="88">
        <f>ROUNDUP(C48,0)</f>
        <v>1</v>
      </c>
      <c r="E48" s="25">
        <f>IF(AND(D5&gt;10,D5&lt;101),D5/50,0)</f>
        <v>0.48</v>
      </c>
      <c r="F48" s="77">
        <f>ROUNDUP(E48,0)</f>
        <v>1</v>
      </c>
    </row>
    <row r="49" spans="1:6" x14ac:dyDescent="0.25">
      <c r="A49" s="75">
        <v>3</v>
      </c>
      <c r="B49" s="101" t="s">
        <v>92</v>
      </c>
      <c r="C49" s="25">
        <f>IF(D5&gt;100,4+(D5-100)/50,0)</f>
        <v>0</v>
      </c>
      <c r="D49" s="88">
        <f>ROUNDUP(C49,0)</f>
        <v>0</v>
      </c>
      <c r="E49" s="25">
        <f>IF(D5&gt;100,2+(D5-100)/50,0)</f>
        <v>0</v>
      </c>
      <c r="F49" s="77">
        <f>ROUNDUP(E49,0)</f>
        <v>0</v>
      </c>
    </row>
    <row r="50" spans="1:6" ht="16.5" thickBot="1" x14ac:dyDescent="0.3">
      <c r="A50" s="113"/>
      <c r="B50" s="79" t="s">
        <v>66</v>
      </c>
      <c r="C50" s="82"/>
      <c r="D50" s="80">
        <f>SUM(D47:D49)</f>
        <v>1</v>
      </c>
      <c r="E50" s="82"/>
      <c r="F50" s="81">
        <f>SUM(F47:F49)</f>
        <v>1</v>
      </c>
    </row>
    <row r="51" spans="1:6" ht="17.25" thickTop="1" thickBot="1" x14ac:dyDescent="0.3"/>
    <row r="52" spans="1:6" ht="16.5" thickTop="1" x14ac:dyDescent="0.25">
      <c r="A52" s="1" t="s">
        <v>36</v>
      </c>
      <c r="B52" s="73" t="s">
        <v>151</v>
      </c>
      <c r="C52" s="2"/>
      <c r="D52" s="2"/>
      <c r="E52" s="2"/>
      <c r="F52" s="74"/>
    </row>
    <row r="53" spans="1:6" ht="31.5" x14ac:dyDescent="0.25">
      <c r="A53" s="112"/>
      <c r="B53" s="38" t="s">
        <v>49</v>
      </c>
      <c r="C53" s="25" t="s">
        <v>38</v>
      </c>
      <c r="D53" s="87" t="s">
        <v>40</v>
      </c>
      <c r="E53" s="25" t="s">
        <v>51</v>
      </c>
      <c r="F53" s="76" t="s">
        <v>52</v>
      </c>
    </row>
    <row r="54" spans="1:6" x14ac:dyDescent="0.25">
      <c r="A54" s="75">
        <v>1</v>
      </c>
      <c r="B54" s="101" t="s">
        <v>102</v>
      </c>
      <c r="C54" s="25">
        <f>IF(D6&gt;10,0,C19)</f>
        <v>0</v>
      </c>
      <c r="D54" s="88">
        <f>ROUNDUP(C54,0)</f>
        <v>0</v>
      </c>
      <c r="E54" s="25">
        <f>IF(D6&gt;10,0,D19)</f>
        <v>0</v>
      </c>
      <c r="F54" s="77">
        <f>ROUNDUP(E54,0)</f>
        <v>0</v>
      </c>
    </row>
    <row r="55" spans="1:6" x14ac:dyDescent="0.25">
      <c r="A55" s="75">
        <v>2</v>
      </c>
      <c r="B55" s="101" t="s">
        <v>128</v>
      </c>
      <c r="C55" s="25">
        <f>IF(AND(D6&gt;10,D6&lt;101),D6/25,0)</f>
        <v>3.56</v>
      </c>
      <c r="D55" s="88">
        <f>ROUNDUP(C55,0)</f>
        <v>4</v>
      </c>
      <c r="E55" s="25">
        <f>IF(AND(D6&gt;10,D6&lt;101),D6/50,0)</f>
        <v>1.78</v>
      </c>
      <c r="F55" s="77">
        <f>ROUNDUP(E55,0)</f>
        <v>2</v>
      </c>
    </row>
    <row r="56" spans="1:6" x14ac:dyDescent="0.25">
      <c r="A56" s="75">
        <v>3</v>
      </c>
      <c r="B56" s="101" t="s">
        <v>92</v>
      </c>
      <c r="C56" s="25">
        <f>IF(D6&gt;100,4+(D6-100)/50,0)</f>
        <v>0</v>
      </c>
      <c r="D56" s="88">
        <f>ROUNDUP(C56,0)</f>
        <v>0</v>
      </c>
      <c r="E56" s="25">
        <f>IF(D6&gt;100,2+(D6-100)/50,0)</f>
        <v>0</v>
      </c>
      <c r="F56" s="77">
        <f>ROUNDUP(E56,0)</f>
        <v>0</v>
      </c>
    </row>
    <row r="57" spans="1:6" ht="16.5" thickBot="1" x14ac:dyDescent="0.3">
      <c r="A57" s="113"/>
      <c r="B57" s="79" t="s">
        <v>66</v>
      </c>
      <c r="C57" s="82"/>
      <c r="D57" s="80">
        <f>SUM(D54:D56)</f>
        <v>4</v>
      </c>
      <c r="E57" s="82"/>
      <c r="F57" s="81">
        <f>SUM(F54:F56)</f>
        <v>2</v>
      </c>
    </row>
    <row r="58" spans="1:6" ht="16.5" thickTop="1" x14ac:dyDescent="0.25"/>
    <row r="61" spans="1:6" x14ac:dyDescent="0.25">
      <c r="A61" s="69"/>
      <c r="B61" s="68" t="s">
        <v>97</v>
      </c>
      <c r="C61" s="69"/>
      <c r="D61" s="69"/>
      <c r="E61" s="69"/>
      <c r="F61" s="69"/>
    </row>
    <row r="62" spans="1:6" x14ac:dyDescent="0.25">
      <c r="A62" s="69"/>
      <c r="B62" s="68" t="s">
        <v>98</v>
      </c>
      <c r="C62" s="69"/>
      <c r="D62" s="69"/>
      <c r="E62" s="69"/>
      <c r="F62" s="69"/>
    </row>
    <row r="63" spans="1:6" x14ac:dyDescent="0.25">
      <c r="A63" s="69"/>
      <c r="B63" s="110" t="s">
        <v>85</v>
      </c>
      <c r="C63" s="110" t="s">
        <v>86</v>
      </c>
      <c r="D63" s="69"/>
      <c r="E63" s="69"/>
      <c r="F63" s="69"/>
    </row>
    <row r="64" spans="1:6" ht="47.25" x14ac:dyDescent="0.25">
      <c r="A64" s="69"/>
      <c r="B64" s="85" t="s">
        <v>100</v>
      </c>
      <c r="C64" s="85" t="s">
        <v>101</v>
      </c>
      <c r="D64" s="69"/>
      <c r="E64" s="69"/>
      <c r="F64" s="69"/>
    </row>
    <row r="65" spans="1:6" x14ac:dyDescent="0.25">
      <c r="A65" s="71">
        <v>1</v>
      </c>
      <c r="B65" s="86" t="s">
        <v>105</v>
      </c>
      <c r="C65" s="85">
        <v>1</v>
      </c>
      <c r="D65" s="69"/>
      <c r="E65" s="69"/>
      <c r="F65" s="69"/>
    </row>
    <row r="66" spans="1:6" x14ac:dyDescent="0.25">
      <c r="A66" s="71">
        <v>2</v>
      </c>
      <c r="B66" s="86" t="s">
        <v>130</v>
      </c>
      <c r="C66" s="85">
        <v>2</v>
      </c>
      <c r="D66" s="69"/>
      <c r="E66" s="69"/>
      <c r="F66" s="69"/>
    </row>
    <row r="67" spans="1:6" ht="80.25" customHeight="1" x14ac:dyDescent="0.25">
      <c r="A67" s="71">
        <v>3</v>
      </c>
      <c r="B67" s="86" t="s">
        <v>131</v>
      </c>
      <c r="C67" s="85" t="s">
        <v>106</v>
      </c>
      <c r="D67" s="69"/>
      <c r="E67" s="69"/>
      <c r="F67" s="69"/>
    </row>
    <row r="69" spans="1:6" ht="16.5" thickBot="1" x14ac:dyDescent="0.3"/>
    <row r="70" spans="1:6" ht="16.5" thickTop="1" x14ac:dyDescent="0.25">
      <c r="A70" s="1" t="s">
        <v>36</v>
      </c>
      <c r="B70" s="73" t="s">
        <v>127</v>
      </c>
      <c r="C70" s="2"/>
      <c r="D70" s="74"/>
      <c r="E70" s="101"/>
      <c r="F70" s="101"/>
    </row>
    <row r="71" spans="1:6" ht="31.5" x14ac:dyDescent="0.25">
      <c r="A71" s="112"/>
      <c r="B71" s="38" t="s">
        <v>53</v>
      </c>
      <c r="C71" s="25" t="s">
        <v>39</v>
      </c>
      <c r="D71" s="76" t="s">
        <v>41</v>
      </c>
      <c r="E71" s="33"/>
      <c r="F71" s="114"/>
    </row>
    <row r="72" spans="1:6" x14ac:dyDescent="0.25">
      <c r="A72" s="75">
        <v>1</v>
      </c>
      <c r="B72" s="101" t="s">
        <v>102</v>
      </c>
      <c r="C72" s="25">
        <f>IF(E2&gt;10,0,C65)</f>
        <v>0</v>
      </c>
      <c r="D72" s="77">
        <f>ROUNDUP(C72,0)</f>
        <v>0</v>
      </c>
      <c r="E72" s="33"/>
      <c r="F72" s="33"/>
    </row>
    <row r="73" spans="1:6" x14ac:dyDescent="0.25">
      <c r="A73" s="75">
        <v>2</v>
      </c>
      <c r="B73" s="101" t="s">
        <v>103</v>
      </c>
      <c r="C73" s="25">
        <f>IF(AND(E2&gt;10,E2&lt;26),C66,0)</f>
        <v>0</v>
      </c>
      <c r="D73" s="77">
        <f>ROUNDUP(C73,0)</f>
        <v>0</v>
      </c>
      <c r="E73" s="33"/>
      <c r="F73" s="33"/>
    </row>
    <row r="74" spans="1:6" x14ac:dyDescent="0.25">
      <c r="A74" s="75">
        <v>3</v>
      </c>
      <c r="B74" s="101" t="s">
        <v>104</v>
      </c>
      <c r="C74" s="25">
        <f>IF(E2&gt;25,2+(E2-25)/25,0)</f>
        <v>9.92</v>
      </c>
      <c r="D74" s="77">
        <f>ROUNDUP(C74,0)</f>
        <v>10</v>
      </c>
      <c r="E74" s="33"/>
      <c r="F74" s="33"/>
    </row>
    <row r="75" spans="1:6" ht="16.5" thickBot="1" x14ac:dyDescent="0.3">
      <c r="A75" s="113"/>
      <c r="B75" s="79" t="s">
        <v>66</v>
      </c>
      <c r="C75" s="82"/>
      <c r="D75" s="81">
        <f>SUM(D72:D74)</f>
        <v>10</v>
      </c>
      <c r="E75" s="115"/>
      <c r="F75" s="116"/>
    </row>
    <row r="76" spans="1:6" ht="17.25" thickTop="1" thickBot="1" x14ac:dyDescent="0.3"/>
    <row r="77" spans="1:6" ht="16.5" thickTop="1" x14ac:dyDescent="0.25">
      <c r="A77" s="1" t="s">
        <v>36</v>
      </c>
      <c r="B77" s="73" t="s">
        <v>148</v>
      </c>
      <c r="C77" s="2"/>
      <c r="D77" s="74"/>
    </row>
    <row r="78" spans="1:6" ht="31.5" x14ac:dyDescent="0.25">
      <c r="A78" s="112"/>
      <c r="B78" s="38" t="s">
        <v>53</v>
      </c>
      <c r="C78" s="25" t="s">
        <v>39</v>
      </c>
      <c r="D78" s="76" t="s">
        <v>41</v>
      </c>
    </row>
    <row r="79" spans="1:6" x14ac:dyDescent="0.25">
      <c r="A79" s="75">
        <v>1</v>
      </c>
      <c r="B79" s="101" t="s">
        <v>102</v>
      </c>
      <c r="C79" s="25">
        <f>IF(E3&gt;10,0,C65)</f>
        <v>0</v>
      </c>
      <c r="D79" s="77">
        <f>ROUNDUP(C79,0)</f>
        <v>0</v>
      </c>
    </row>
    <row r="80" spans="1:6" x14ac:dyDescent="0.25">
      <c r="A80" s="75">
        <v>2</v>
      </c>
      <c r="B80" s="101" t="s">
        <v>103</v>
      </c>
      <c r="C80" s="25">
        <f>IF(AND(E3&gt;10,E3&lt;26),C66,0)</f>
        <v>0</v>
      </c>
      <c r="D80" s="77">
        <f>ROUNDUP(C80,0)</f>
        <v>0</v>
      </c>
    </row>
    <row r="81" spans="1:4" x14ac:dyDescent="0.25">
      <c r="A81" s="75">
        <v>3</v>
      </c>
      <c r="B81" s="101" t="s">
        <v>104</v>
      </c>
      <c r="C81" s="25">
        <f>IF(E3&gt;25,2+(E3-25)/25,0)</f>
        <v>3.24</v>
      </c>
      <c r="D81" s="77">
        <f>ROUNDUP(C81,0)</f>
        <v>4</v>
      </c>
    </row>
    <row r="82" spans="1:4" ht="16.5" thickBot="1" x14ac:dyDescent="0.3">
      <c r="A82" s="113"/>
      <c r="B82" s="79" t="s">
        <v>66</v>
      </c>
      <c r="C82" s="82"/>
      <c r="D82" s="81">
        <f>SUM(D79:D81)</f>
        <v>4</v>
      </c>
    </row>
    <row r="83" spans="1:4" ht="17.25" thickTop="1" thickBot="1" x14ac:dyDescent="0.3"/>
    <row r="84" spans="1:4" ht="16.5" thickTop="1" x14ac:dyDescent="0.25">
      <c r="A84" s="1" t="s">
        <v>36</v>
      </c>
      <c r="B84" s="73" t="s">
        <v>149</v>
      </c>
      <c r="C84" s="2"/>
      <c r="D84" s="74"/>
    </row>
    <row r="85" spans="1:4" ht="31.5" x14ac:dyDescent="0.25">
      <c r="A85" s="112"/>
      <c r="B85" s="38" t="s">
        <v>53</v>
      </c>
      <c r="C85" s="25" t="s">
        <v>39</v>
      </c>
      <c r="D85" s="76" t="s">
        <v>41</v>
      </c>
    </row>
    <row r="86" spans="1:4" x14ac:dyDescent="0.25">
      <c r="A86" s="75">
        <v>1</v>
      </c>
      <c r="B86" s="101" t="s">
        <v>102</v>
      </c>
      <c r="C86" s="25">
        <f>IF(E4&gt;10,0,C65)</f>
        <v>1</v>
      </c>
      <c r="D86" s="77">
        <f>ROUNDUP(C86,0)</f>
        <v>1</v>
      </c>
    </row>
    <row r="87" spans="1:4" x14ac:dyDescent="0.25">
      <c r="A87" s="75">
        <v>2</v>
      </c>
      <c r="B87" s="101" t="s">
        <v>103</v>
      </c>
      <c r="C87" s="25">
        <f>IF(AND(E4&gt;10,E4&lt;26),C66,0)</f>
        <v>0</v>
      </c>
      <c r="D87" s="77">
        <f>ROUNDUP(C87,0)</f>
        <v>0</v>
      </c>
    </row>
    <row r="88" spans="1:4" x14ac:dyDescent="0.25">
      <c r="A88" s="75">
        <v>3</v>
      </c>
      <c r="B88" s="101" t="s">
        <v>104</v>
      </c>
      <c r="C88" s="25">
        <f>IF(E4&gt;25,2+(E4-25)/25,0)</f>
        <v>0</v>
      </c>
      <c r="D88" s="77">
        <f>ROUNDUP(C88,0)</f>
        <v>0</v>
      </c>
    </row>
    <row r="89" spans="1:4" ht="16.5" thickBot="1" x14ac:dyDescent="0.3">
      <c r="A89" s="113"/>
      <c r="B89" s="79" t="s">
        <v>66</v>
      </c>
      <c r="C89" s="82"/>
      <c r="D89" s="81">
        <f>SUM(D86:D88)</f>
        <v>1</v>
      </c>
    </row>
    <row r="90" spans="1:4" ht="17.25" thickTop="1" thickBot="1" x14ac:dyDescent="0.3"/>
    <row r="91" spans="1:4" ht="16.5" thickTop="1" x14ac:dyDescent="0.25">
      <c r="A91" s="1" t="s">
        <v>36</v>
      </c>
      <c r="B91" s="73" t="s">
        <v>150</v>
      </c>
      <c r="C91" s="2"/>
      <c r="D91" s="74"/>
    </row>
    <row r="92" spans="1:4" ht="31.5" x14ac:dyDescent="0.25">
      <c r="A92" s="112"/>
      <c r="B92" s="38" t="s">
        <v>53</v>
      </c>
      <c r="C92" s="25" t="s">
        <v>39</v>
      </c>
      <c r="D92" s="76" t="s">
        <v>41</v>
      </c>
    </row>
    <row r="93" spans="1:4" x14ac:dyDescent="0.25">
      <c r="A93" s="75">
        <v>1</v>
      </c>
      <c r="B93" s="101" t="s">
        <v>102</v>
      </c>
      <c r="C93" s="25">
        <f>IF(E5&gt;10,0,C65)</f>
        <v>0</v>
      </c>
      <c r="D93" s="77">
        <f>ROUNDUP(C93,0)</f>
        <v>0</v>
      </c>
    </row>
    <row r="94" spans="1:4" x14ac:dyDescent="0.25">
      <c r="A94" s="75">
        <v>2</v>
      </c>
      <c r="B94" s="101" t="s">
        <v>103</v>
      </c>
      <c r="C94" s="25">
        <f>IF(AND(E5&gt;10,E5&lt;26),C66,0)</f>
        <v>2</v>
      </c>
      <c r="D94" s="77">
        <f>ROUNDUP(C94,0)</f>
        <v>2</v>
      </c>
    </row>
    <row r="95" spans="1:4" x14ac:dyDescent="0.25">
      <c r="A95" s="75">
        <v>3</v>
      </c>
      <c r="B95" s="101" t="s">
        <v>104</v>
      </c>
      <c r="C95" s="25">
        <f>IF(E5&gt;25,2+(E5-25)/25,0)</f>
        <v>0</v>
      </c>
      <c r="D95" s="77">
        <f>ROUNDUP(C95,0)</f>
        <v>0</v>
      </c>
    </row>
    <row r="96" spans="1:4" ht="16.5" thickBot="1" x14ac:dyDescent="0.3">
      <c r="A96" s="113"/>
      <c r="B96" s="79" t="s">
        <v>66</v>
      </c>
      <c r="C96" s="82"/>
      <c r="D96" s="81">
        <f>SUM(D93:D95)</f>
        <v>2</v>
      </c>
    </row>
    <row r="97" spans="1:5" ht="17.25" thickTop="1" thickBot="1" x14ac:dyDescent="0.3"/>
    <row r="98" spans="1:5" ht="16.5" thickTop="1" x14ac:dyDescent="0.25">
      <c r="A98" s="1" t="s">
        <v>36</v>
      </c>
      <c r="B98" s="73" t="s">
        <v>151</v>
      </c>
      <c r="C98" s="2"/>
      <c r="D98" s="74"/>
    </row>
    <row r="99" spans="1:5" ht="31.5" x14ac:dyDescent="0.25">
      <c r="A99" s="112"/>
      <c r="B99" s="38" t="s">
        <v>53</v>
      </c>
      <c r="C99" s="25" t="s">
        <v>39</v>
      </c>
      <c r="D99" s="76" t="s">
        <v>41</v>
      </c>
    </row>
    <row r="100" spans="1:5" x14ac:dyDescent="0.25">
      <c r="A100" s="75">
        <v>1</v>
      </c>
      <c r="B100" s="101" t="s">
        <v>102</v>
      </c>
      <c r="C100" s="25">
        <f>IF(E6&gt;10,0,C65)</f>
        <v>0</v>
      </c>
      <c r="D100" s="77">
        <f>ROUNDUP(C100,0)</f>
        <v>0</v>
      </c>
    </row>
    <row r="101" spans="1:5" x14ac:dyDescent="0.25">
      <c r="A101" s="75">
        <v>2</v>
      </c>
      <c r="B101" s="101" t="s">
        <v>103</v>
      </c>
      <c r="C101" s="25">
        <f>IF(AND(E6&gt;10,E6&lt;26),C66,0)</f>
        <v>0</v>
      </c>
      <c r="D101" s="77">
        <f>ROUNDUP(C101,0)</f>
        <v>0</v>
      </c>
    </row>
    <row r="102" spans="1:5" x14ac:dyDescent="0.25">
      <c r="A102" s="75">
        <v>3</v>
      </c>
      <c r="B102" s="101" t="s">
        <v>104</v>
      </c>
      <c r="C102" s="25">
        <f>IF(E6&gt;25,2+(E6-25)/25,0)</f>
        <v>4.5600000000000005</v>
      </c>
      <c r="D102" s="77">
        <f>ROUNDUP(C102,0)</f>
        <v>5</v>
      </c>
    </row>
    <row r="103" spans="1:5" ht="16.5" thickBot="1" x14ac:dyDescent="0.3">
      <c r="A103" s="113"/>
      <c r="B103" s="79" t="s">
        <v>66</v>
      </c>
      <c r="C103" s="82"/>
      <c r="D103" s="81">
        <f>SUM(D100:D102)</f>
        <v>5</v>
      </c>
    </row>
    <row r="104" spans="1:5" ht="16.5" thickTop="1" x14ac:dyDescent="0.25"/>
    <row r="107" spans="1:5" x14ac:dyDescent="0.25">
      <c r="A107" s="69"/>
      <c r="B107" s="68" t="s">
        <v>107</v>
      </c>
      <c r="C107" s="69"/>
      <c r="D107" s="69"/>
      <c r="E107" s="69"/>
    </row>
    <row r="108" spans="1:5" x14ac:dyDescent="0.25">
      <c r="A108" s="69"/>
      <c r="B108" s="68" t="s">
        <v>108</v>
      </c>
      <c r="C108" s="69"/>
      <c r="D108" s="69"/>
      <c r="E108" s="69"/>
    </row>
    <row r="109" spans="1:5" x14ac:dyDescent="0.25">
      <c r="A109" s="69"/>
      <c r="B109" s="69"/>
      <c r="C109" s="69"/>
      <c r="D109" s="69"/>
      <c r="E109" s="69"/>
    </row>
    <row r="110" spans="1:5" x14ac:dyDescent="0.25">
      <c r="A110" s="84" t="s">
        <v>109</v>
      </c>
      <c r="B110" s="68" t="s">
        <v>110</v>
      </c>
      <c r="C110" s="69"/>
      <c r="D110" s="69"/>
      <c r="E110" s="69"/>
    </row>
    <row r="111" spans="1:5" x14ac:dyDescent="0.25">
      <c r="A111" s="67"/>
      <c r="B111" s="117" t="s">
        <v>114</v>
      </c>
      <c r="C111" s="117" t="s">
        <v>115</v>
      </c>
      <c r="D111" s="69"/>
      <c r="E111" s="69"/>
    </row>
    <row r="112" spans="1:5" ht="47.25" x14ac:dyDescent="0.25">
      <c r="A112" s="67"/>
      <c r="B112" s="85" t="s">
        <v>116</v>
      </c>
      <c r="C112" s="85" t="s">
        <v>117</v>
      </c>
      <c r="D112" s="69"/>
      <c r="E112" s="69"/>
    </row>
    <row r="113" spans="1:6" ht="47.25" x14ac:dyDescent="0.25">
      <c r="A113" s="71">
        <v>1</v>
      </c>
      <c r="B113" s="86" t="s">
        <v>113</v>
      </c>
      <c r="C113" s="85" t="s">
        <v>118</v>
      </c>
      <c r="D113" s="69"/>
      <c r="E113" s="69"/>
    </row>
    <row r="114" spans="1:6" ht="63" x14ac:dyDescent="0.25">
      <c r="A114" s="71">
        <v>2</v>
      </c>
      <c r="B114" s="86" t="s">
        <v>119</v>
      </c>
      <c r="C114" s="85" t="s">
        <v>120</v>
      </c>
      <c r="D114" s="69"/>
      <c r="E114" s="69"/>
    </row>
    <row r="115" spans="1:6" x14ac:dyDescent="0.25">
      <c r="A115" s="69"/>
      <c r="B115" s="69"/>
      <c r="C115" s="69"/>
      <c r="D115" s="69"/>
      <c r="E115" s="69"/>
    </row>
    <row r="116" spans="1:6" x14ac:dyDescent="0.25">
      <c r="A116" s="84" t="s">
        <v>311</v>
      </c>
      <c r="B116" s="68" t="s">
        <v>121</v>
      </c>
      <c r="C116" s="69"/>
      <c r="D116" s="69"/>
      <c r="E116" s="69"/>
    </row>
    <row r="117" spans="1:6" x14ac:dyDescent="0.25">
      <c r="A117" s="69"/>
      <c r="B117" s="117" t="s">
        <v>111</v>
      </c>
      <c r="C117" s="117" t="s">
        <v>86</v>
      </c>
      <c r="D117" s="69"/>
      <c r="E117" s="69"/>
    </row>
    <row r="118" spans="1:6" ht="47.25" x14ac:dyDescent="0.25">
      <c r="A118" s="69"/>
      <c r="B118" s="85" t="s">
        <v>99</v>
      </c>
      <c r="C118" s="85" t="s">
        <v>112</v>
      </c>
      <c r="D118" s="69"/>
      <c r="E118" s="69"/>
    </row>
    <row r="119" spans="1:6" ht="47.25" x14ac:dyDescent="0.25">
      <c r="A119" s="71">
        <v>1</v>
      </c>
      <c r="B119" s="86" t="s">
        <v>122</v>
      </c>
      <c r="C119" s="85" t="s">
        <v>123</v>
      </c>
      <c r="D119" s="69"/>
      <c r="E119" s="69"/>
    </row>
    <row r="120" spans="1:6" ht="63" x14ac:dyDescent="0.25">
      <c r="A120" s="71">
        <v>2</v>
      </c>
      <c r="B120" s="86" t="s">
        <v>129</v>
      </c>
      <c r="C120" s="85" t="s">
        <v>124</v>
      </c>
      <c r="D120" s="69"/>
      <c r="E120" s="69"/>
    </row>
    <row r="122" spans="1:6" ht="16.5" thickBot="1" x14ac:dyDescent="0.3"/>
    <row r="123" spans="1:6" ht="16.5" thickTop="1" x14ac:dyDescent="0.25">
      <c r="A123" s="1" t="s">
        <v>36</v>
      </c>
      <c r="B123" s="73" t="s">
        <v>127</v>
      </c>
      <c r="C123" s="2"/>
      <c r="D123" s="2"/>
      <c r="E123" s="2"/>
      <c r="F123" s="74"/>
    </row>
    <row r="124" spans="1:6" ht="31.5" x14ac:dyDescent="0.25">
      <c r="A124" s="75"/>
      <c r="B124" s="38" t="s">
        <v>50</v>
      </c>
      <c r="C124" s="25" t="s">
        <v>134</v>
      </c>
      <c r="D124" s="87" t="s">
        <v>135</v>
      </c>
      <c r="E124" s="25" t="s">
        <v>136</v>
      </c>
      <c r="F124" s="76" t="s">
        <v>137</v>
      </c>
    </row>
    <row r="125" spans="1:6" x14ac:dyDescent="0.25">
      <c r="A125" s="75">
        <v>1</v>
      </c>
      <c r="B125" s="101" t="s">
        <v>122</v>
      </c>
      <c r="C125" s="25">
        <f>IF(D2&gt;100,0,D2/25)</f>
        <v>0</v>
      </c>
      <c r="D125" s="88">
        <f>ROUNDUP(C125,0)</f>
        <v>0</v>
      </c>
      <c r="E125" s="25">
        <f>IF(E2&gt;100,0,E2/25)</f>
        <v>0</v>
      </c>
      <c r="F125" s="77">
        <f>ROUNDUP(E125,0)</f>
        <v>0</v>
      </c>
    </row>
    <row r="126" spans="1:6" x14ac:dyDescent="0.25">
      <c r="A126" s="75">
        <v>2</v>
      </c>
      <c r="B126" s="101" t="s">
        <v>92</v>
      </c>
      <c r="C126" s="25">
        <f>IF(D2&gt;100,4+(D2-100)/50,0)</f>
        <v>6.46</v>
      </c>
      <c r="D126" s="88">
        <f>ROUNDUP(C126,0)</f>
        <v>7</v>
      </c>
      <c r="E126" s="25">
        <f>IF(E2&gt;100,4+(E2-100)/50,0)</f>
        <v>6.46</v>
      </c>
      <c r="F126" s="77">
        <f>ROUNDUP(E126,0)</f>
        <v>7</v>
      </c>
    </row>
    <row r="127" spans="1:6" ht="16.5" thickBot="1" x14ac:dyDescent="0.3">
      <c r="A127" s="113"/>
      <c r="B127" s="79" t="s">
        <v>66</v>
      </c>
      <c r="C127" s="91"/>
      <c r="D127" s="80">
        <f>SUM(D125:D126)</f>
        <v>7</v>
      </c>
      <c r="E127" s="80"/>
      <c r="F127" s="81">
        <f>SUM(F125:F126)</f>
        <v>7</v>
      </c>
    </row>
    <row r="128" spans="1:6" ht="17.25" thickTop="1" thickBot="1" x14ac:dyDescent="0.3"/>
    <row r="129" spans="1:6" ht="16.5" thickTop="1" x14ac:dyDescent="0.25">
      <c r="A129" s="1" t="s">
        <v>36</v>
      </c>
      <c r="B129" s="73" t="s">
        <v>148</v>
      </c>
      <c r="C129" s="2"/>
      <c r="D129" s="2"/>
      <c r="E129" s="2"/>
      <c r="F129" s="74"/>
    </row>
    <row r="130" spans="1:6" ht="31.5" x14ac:dyDescent="0.25">
      <c r="A130" s="75"/>
      <c r="B130" s="38" t="s">
        <v>50</v>
      </c>
      <c r="C130" s="25" t="s">
        <v>134</v>
      </c>
      <c r="D130" s="87" t="s">
        <v>135</v>
      </c>
      <c r="E130" s="25" t="s">
        <v>136</v>
      </c>
      <c r="F130" s="76" t="s">
        <v>137</v>
      </c>
    </row>
    <row r="131" spans="1:6" x14ac:dyDescent="0.25">
      <c r="A131" s="75">
        <v>1</v>
      </c>
      <c r="B131" s="101" t="s">
        <v>122</v>
      </c>
      <c r="C131" s="25">
        <f>IF(D3&gt;100,0,D3/25)</f>
        <v>2.2400000000000002</v>
      </c>
      <c r="D131" s="88">
        <f>ROUNDUP(C131,0)</f>
        <v>3</v>
      </c>
      <c r="E131" s="25">
        <f>IF(E3&gt;100,0,E3/25)</f>
        <v>2.2400000000000002</v>
      </c>
      <c r="F131" s="77">
        <f>ROUNDUP(E131,0)</f>
        <v>3</v>
      </c>
    </row>
    <row r="132" spans="1:6" x14ac:dyDescent="0.25">
      <c r="A132" s="75">
        <v>2</v>
      </c>
      <c r="B132" s="101" t="s">
        <v>92</v>
      </c>
      <c r="C132" s="25">
        <f>IF(D3&gt;100,4+(D3-100)/50,0)</f>
        <v>0</v>
      </c>
      <c r="D132" s="88">
        <f>ROUNDUP(C132,0)</f>
        <v>0</v>
      </c>
      <c r="E132" s="25">
        <f>IF(E3&gt;100,4+(E3-100)/50,0)</f>
        <v>0</v>
      </c>
      <c r="F132" s="77">
        <f>ROUNDUP(E132,0)</f>
        <v>0</v>
      </c>
    </row>
    <row r="133" spans="1:6" ht="16.5" thickBot="1" x14ac:dyDescent="0.3">
      <c r="A133" s="113"/>
      <c r="B133" s="79" t="s">
        <v>66</v>
      </c>
      <c r="C133" s="91"/>
      <c r="D133" s="80">
        <f>SUM(D131:D132)</f>
        <v>3</v>
      </c>
      <c r="E133" s="80"/>
      <c r="F133" s="81">
        <f>SUM(F131:F132)</f>
        <v>3</v>
      </c>
    </row>
    <row r="134" spans="1:6" ht="17.25" thickTop="1" thickBot="1" x14ac:dyDescent="0.3"/>
    <row r="135" spans="1:6" ht="16.5" thickTop="1" x14ac:dyDescent="0.25">
      <c r="A135" s="1" t="s">
        <v>36</v>
      </c>
      <c r="B135" s="73" t="s">
        <v>149</v>
      </c>
      <c r="C135" s="2"/>
      <c r="D135" s="2"/>
      <c r="E135" s="2"/>
      <c r="F135" s="74"/>
    </row>
    <row r="136" spans="1:6" ht="31.5" x14ac:dyDescent="0.25">
      <c r="A136" s="75"/>
      <c r="B136" s="38" t="s">
        <v>50</v>
      </c>
      <c r="C136" s="25" t="s">
        <v>134</v>
      </c>
      <c r="D136" s="87" t="s">
        <v>135</v>
      </c>
      <c r="E136" s="25" t="s">
        <v>136</v>
      </c>
      <c r="F136" s="76" t="s">
        <v>137</v>
      </c>
    </row>
    <row r="137" spans="1:6" x14ac:dyDescent="0.25">
      <c r="A137" s="75">
        <v>1</v>
      </c>
      <c r="B137" s="101" t="s">
        <v>122</v>
      </c>
      <c r="C137" s="25">
        <f>IF(D4&gt;100,0,D4/25)</f>
        <v>0.4</v>
      </c>
      <c r="D137" s="88">
        <f>ROUNDUP(C137,0)</f>
        <v>1</v>
      </c>
      <c r="E137" s="25">
        <f>IF(E4&gt;100,0,E4/25)</f>
        <v>0.4</v>
      </c>
      <c r="F137" s="77">
        <f>ROUNDUP(E137,0)</f>
        <v>1</v>
      </c>
    </row>
    <row r="138" spans="1:6" x14ac:dyDescent="0.25">
      <c r="A138" s="75">
        <v>2</v>
      </c>
      <c r="B138" s="101" t="s">
        <v>92</v>
      </c>
      <c r="C138" s="25">
        <f>IF(D4&gt;100,4+(D4-100)/50,0)</f>
        <v>0</v>
      </c>
      <c r="D138" s="88">
        <f>ROUNDUP(C138,0)</f>
        <v>0</v>
      </c>
      <c r="E138" s="25">
        <f>IF(E4&gt;100,4+(E4-100)/50,0)</f>
        <v>0</v>
      </c>
      <c r="F138" s="77">
        <f>ROUNDUP(E138,0)</f>
        <v>0</v>
      </c>
    </row>
    <row r="139" spans="1:6" ht="16.5" thickBot="1" x14ac:dyDescent="0.3">
      <c r="A139" s="113"/>
      <c r="B139" s="79" t="s">
        <v>66</v>
      </c>
      <c r="C139" s="91"/>
      <c r="D139" s="80">
        <f>SUM(D137:D138)</f>
        <v>1</v>
      </c>
      <c r="E139" s="80"/>
      <c r="F139" s="81">
        <f>SUM(F137:F138)</f>
        <v>1</v>
      </c>
    </row>
    <row r="140" spans="1:6" ht="17.25" thickTop="1" thickBot="1" x14ac:dyDescent="0.3"/>
    <row r="141" spans="1:6" ht="16.5" thickTop="1" x14ac:dyDescent="0.25">
      <c r="A141" s="1" t="s">
        <v>36</v>
      </c>
      <c r="B141" s="73" t="s">
        <v>150</v>
      </c>
      <c r="C141" s="2"/>
      <c r="D141" s="2"/>
      <c r="E141" s="2"/>
      <c r="F141" s="74"/>
    </row>
    <row r="142" spans="1:6" ht="31.5" x14ac:dyDescent="0.25">
      <c r="A142" s="75"/>
      <c r="B142" s="38" t="s">
        <v>50</v>
      </c>
      <c r="C142" s="25" t="s">
        <v>134</v>
      </c>
      <c r="D142" s="87" t="s">
        <v>135</v>
      </c>
      <c r="E142" s="25" t="s">
        <v>136</v>
      </c>
      <c r="F142" s="76" t="s">
        <v>137</v>
      </c>
    </row>
    <row r="143" spans="1:6" x14ac:dyDescent="0.25">
      <c r="A143" s="75">
        <v>1</v>
      </c>
      <c r="B143" s="101" t="s">
        <v>122</v>
      </c>
      <c r="C143" s="25">
        <f>IF(D5&gt;100,0,D5/25)</f>
        <v>0.96</v>
      </c>
      <c r="D143" s="88">
        <f>ROUNDUP(C143,0)</f>
        <v>1</v>
      </c>
      <c r="E143" s="25">
        <f>IF(E5&gt;100,0,E5/25)</f>
        <v>0.96</v>
      </c>
      <c r="F143" s="77">
        <f>ROUNDUP(E143,0)</f>
        <v>1</v>
      </c>
    </row>
    <row r="144" spans="1:6" x14ac:dyDescent="0.25">
      <c r="A144" s="75">
        <v>2</v>
      </c>
      <c r="B144" s="101" t="s">
        <v>92</v>
      </c>
      <c r="C144" s="25">
        <f>IF(D5&gt;100,4+(D5-100)/50,0)</f>
        <v>0</v>
      </c>
      <c r="D144" s="88">
        <f>ROUNDUP(C144,0)</f>
        <v>0</v>
      </c>
      <c r="E144" s="25">
        <f>IF(E5&gt;100,4+(E5-100)/50,0)</f>
        <v>0</v>
      </c>
      <c r="F144" s="77">
        <f>ROUNDUP(E144,0)</f>
        <v>0</v>
      </c>
    </row>
    <row r="145" spans="1:6" ht="16.5" thickBot="1" x14ac:dyDescent="0.3">
      <c r="A145" s="113"/>
      <c r="B145" s="79" t="s">
        <v>66</v>
      </c>
      <c r="C145" s="91"/>
      <c r="D145" s="80">
        <f>SUM(D143:D144)</f>
        <v>1</v>
      </c>
      <c r="E145" s="80"/>
      <c r="F145" s="81">
        <f>SUM(F143:F144)</f>
        <v>1</v>
      </c>
    </row>
    <row r="146" spans="1:6" ht="17.25" thickTop="1" thickBot="1" x14ac:dyDescent="0.3"/>
    <row r="147" spans="1:6" ht="16.5" thickTop="1" x14ac:dyDescent="0.25">
      <c r="A147" s="1" t="s">
        <v>36</v>
      </c>
      <c r="B147" s="73" t="s">
        <v>151</v>
      </c>
      <c r="C147" s="2"/>
      <c r="D147" s="2"/>
      <c r="E147" s="2"/>
      <c r="F147" s="74"/>
    </row>
    <row r="148" spans="1:6" ht="31.5" x14ac:dyDescent="0.25">
      <c r="A148" s="75"/>
      <c r="B148" s="38" t="s">
        <v>50</v>
      </c>
      <c r="C148" s="25" t="s">
        <v>134</v>
      </c>
      <c r="D148" s="87" t="s">
        <v>135</v>
      </c>
      <c r="E148" s="25" t="s">
        <v>136</v>
      </c>
      <c r="F148" s="76" t="s">
        <v>137</v>
      </c>
    </row>
    <row r="149" spans="1:6" x14ac:dyDescent="0.25">
      <c r="A149" s="75">
        <v>1</v>
      </c>
      <c r="B149" s="101" t="s">
        <v>122</v>
      </c>
      <c r="C149" s="25">
        <f>IF(D6&gt;100,0,D6/25)</f>
        <v>3.56</v>
      </c>
      <c r="D149" s="88">
        <f>ROUNDUP(C149,0)</f>
        <v>4</v>
      </c>
      <c r="E149" s="25">
        <f>IF(E6&gt;100,0,E6/25)</f>
        <v>3.56</v>
      </c>
      <c r="F149" s="77">
        <f>ROUNDUP(E149,0)</f>
        <v>4</v>
      </c>
    </row>
    <row r="150" spans="1:6" x14ac:dyDescent="0.25">
      <c r="A150" s="75">
        <v>2</v>
      </c>
      <c r="B150" s="101" t="s">
        <v>92</v>
      </c>
      <c r="C150" s="25">
        <f>IF(D6&gt;100,4+(D6-100)/50,0)</f>
        <v>0</v>
      </c>
      <c r="D150" s="88">
        <f>ROUNDUP(C150,0)</f>
        <v>0</v>
      </c>
      <c r="E150" s="25">
        <f>IF(E6&gt;100,4+(E6-100)/50,0)</f>
        <v>0</v>
      </c>
      <c r="F150" s="77">
        <f>ROUNDUP(E150,0)</f>
        <v>0</v>
      </c>
    </row>
    <row r="151" spans="1:6" ht="16.5" thickBot="1" x14ac:dyDescent="0.3">
      <c r="A151" s="113"/>
      <c r="B151" s="79" t="s">
        <v>66</v>
      </c>
      <c r="C151" s="91"/>
      <c r="D151" s="80">
        <f>SUM(D149:D150)</f>
        <v>4</v>
      </c>
      <c r="E151" s="80"/>
      <c r="F151" s="81">
        <f>SUM(F149:F150)</f>
        <v>4</v>
      </c>
    </row>
    <row r="152" spans="1:6" ht="16.5" thickTop="1" x14ac:dyDescent="0.25"/>
  </sheetData>
  <sheetProtection algorithmName="SHA-512" hashValue="kRxcIeeua13J16IpsAj5iPrzolzmf0GRXLlWkWd55NtTsT3RHupf7Mta+5U/oQbbTNs3eu4PUSRLTWJ4wWKThA==" saltValue="NwmE24n5VpHeinGUj7wM4g==" spinCount="100000" sheet="1" objects="1" scenarios="1"/>
  <mergeCells count="1">
    <mergeCell ref="C9:D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rowBreaks count="4" manualBreakCount="4">
    <brk id="43" max="6" man="1"/>
    <brk id="75" max="16383" man="1"/>
    <brk id="104" max="16383" man="1"/>
    <brk id="1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view="pageBreakPreview" zoomScaleNormal="100" zoomScaleSheetLayoutView="100" workbookViewId="0">
      <pane ySplit="5" topLeftCell="A6" activePane="bottomLeft" state="frozen"/>
      <selection pane="bottomLeft" activeCell="F2" sqref="F2"/>
    </sheetView>
  </sheetViews>
  <sheetFormatPr defaultRowHeight="15.75" x14ac:dyDescent="0.25"/>
  <cols>
    <col min="1" max="1" width="9" style="3"/>
    <col min="2" max="2" width="16.125" style="3" customWidth="1"/>
    <col min="3" max="3" width="17.375" style="3" bestFit="1" customWidth="1"/>
    <col min="4" max="4" width="13.75" style="3" customWidth="1"/>
    <col min="5" max="5" width="15" style="3" bestFit="1" customWidth="1"/>
    <col min="6" max="6" width="12" style="3" customWidth="1"/>
    <col min="7" max="16384" width="9" style="3"/>
  </cols>
  <sheetData>
    <row r="1" spans="1:9" x14ac:dyDescent="0.25">
      <c r="B1" s="61" t="s">
        <v>3</v>
      </c>
      <c r="C1" s="62" t="s">
        <v>0</v>
      </c>
      <c r="D1" s="62" t="s">
        <v>1</v>
      </c>
      <c r="E1" s="63" t="s">
        <v>2</v>
      </c>
    </row>
    <row r="2" spans="1:9" x14ac:dyDescent="0.25">
      <c r="B2" s="64" t="s">
        <v>176</v>
      </c>
      <c r="C2" s="65">
        <f>Calculator!I22</f>
        <v>250</v>
      </c>
      <c r="D2" s="65">
        <f>Calculator!K22</f>
        <v>100</v>
      </c>
      <c r="E2" s="66">
        <f>Calculator!M22</f>
        <v>150</v>
      </c>
    </row>
    <row r="3" spans="1:9" x14ac:dyDescent="0.25">
      <c r="B3" s="64" t="s">
        <v>177</v>
      </c>
      <c r="C3" s="65">
        <f>Calculator!I23</f>
        <v>800</v>
      </c>
      <c r="D3" s="65">
        <f>Calculator!K23</f>
        <v>320</v>
      </c>
      <c r="E3" s="66">
        <f>Calculator!M23</f>
        <v>480</v>
      </c>
    </row>
    <row r="4" spans="1:9" x14ac:dyDescent="0.25">
      <c r="B4" s="64" t="s">
        <v>178</v>
      </c>
      <c r="C4" s="65">
        <f>Calculator!I24</f>
        <v>1400</v>
      </c>
      <c r="D4" s="65">
        <f>Calculator!K24</f>
        <v>560</v>
      </c>
      <c r="E4" s="66">
        <f>Calculator!M24</f>
        <v>840</v>
      </c>
    </row>
    <row r="5" spans="1:9" x14ac:dyDescent="0.25">
      <c r="B5" s="64" t="s">
        <v>179</v>
      </c>
      <c r="C5" s="65">
        <f>Calculator!I25</f>
        <v>800</v>
      </c>
      <c r="D5" s="65">
        <f>Calculator!K25</f>
        <v>320</v>
      </c>
      <c r="E5" s="66">
        <f>Calculator!M25</f>
        <v>480</v>
      </c>
    </row>
    <row r="9" spans="1:9" x14ac:dyDescent="0.25">
      <c r="A9" s="69"/>
      <c r="B9" s="109" t="s">
        <v>182</v>
      </c>
      <c r="C9" s="69"/>
      <c r="D9" s="69"/>
      <c r="E9" s="69"/>
      <c r="F9" s="69"/>
      <c r="G9" s="69"/>
      <c r="H9" s="69"/>
      <c r="I9" s="69"/>
    </row>
    <row r="10" spans="1:9" x14ac:dyDescent="0.25">
      <c r="A10" s="69"/>
      <c r="B10" s="68" t="s">
        <v>180</v>
      </c>
      <c r="C10" s="69"/>
      <c r="D10" s="69"/>
      <c r="E10" s="69"/>
      <c r="F10" s="69"/>
      <c r="G10" s="69"/>
      <c r="H10" s="69"/>
      <c r="I10" s="69"/>
    </row>
    <row r="11" spans="1:9" x14ac:dyDescent="0.25">
      <c r="A11" s="69"/>
      <c r="B11" s="110" t="s">
        <v>181</v>
      </c>
      <c r="C11" s="110" t="s">
        <v>183</v>
      </c>
      <c r="D11" s="110" t="s">
        <v>184</v>
      </c>
      <c r="E11" s="69"/>
      <c r="F11" s="69"/>
      <c r="G11" s="69"/>
      <c r="H11" s="69"/>
      <c r="I11" s="69"/>
    </row>
    <row r="12" spans="1:9" ht="47.25" x14ac:dyDescent="0.25">
      <c r="A12" s="69"/>
      <c r="B12" s="85" t="s">
        <v>187</v>
      </c>
      <c r="C12" s="85" t="s">
        <v>185</v>
      </c>
      <c r="D12" s="85" t="s">
        <v>186</v>
      </c>
      <c r="E12" s="69"/>
      <c r="F12" s="69"/>
      <c r="G12" s="69"/>
      <c r="H12" s="69"/>
      <c r="I12" s="69"/>
    </row>
    <row r="13" spans="1:9" ht="63" x14ac:dyDescent="0.25">
      <c r="A13" s="71">
        <v>1</v>
      </c>
      <c r="B13" s="111" t="s">
        <v>207</v>
      </c>
      <c r="C13" s="85" t="s">
        <v>188</v>
      </c>
      <c r="D13" s="85" t="s">
        <v>190</v>
      </c>
      <c r="E13" s="69"/>
      <c r="F13" s="69"/>
      <c r="G13" s="69"/>
      <c r="H13" s="69"/>
      <c r="I13" s="69"/>
    </row>
    <row r="14" spans="1:9" ht="74.25" customHeight="1" x14ac:dyDescent="0.25">
      <c r="A14" s="71">
        <v>2</v>
      </c>
      <c r="B14" s="111" t="s">
        <v>209</v>
      </c>
      <c r="C14" s="85" t="s">
        <v>189</v>
      </c>
      <c r="D14" s="85" t="s">
        <v>190</v>
      </c>
      <c r="E14" s="69"/>
      <c r="F14" s="69"/>
      <c r="G14" s="69"/>
      <c r="H14" s="69"/>
      <c r="I14" s="69"/>
    </row>
    <row r="16" spans="1:9" ht="16.5" thickBot="1" x14ac:dyDescent="0.3"/>
    <row r="17" spans="1:6" ht="16.5" thickTop="1" x14ac:dyDescent="0.25">
      <c r="A17" s="1" t="s">
        <v>36</v>
      </c>
      <c r="B17" s="73" t="s">
        <v>211</v>
      </c>
      <c r="C17" s="2"/>
      <c r="D17" s="2"/>
      <c r="E17" s="2"/>
      <c r="F17" s="74"/>
    </row>
    <row r="18" spans="1:6" ht="31.5" x14ac:dyDescent="0.25">
      <c r="A18" s="112"/>
      <c r="B18" s="38" t="s">
        <v>49</v>
      </c>
      <c r="C18" s="25" t="s">
        <v>38</v>
      </c>
      <c r="D18" s="87" t="s">
        <v>40</v>
      </c>
      <c r="E18" s="25" t="s">
        <v>51</v>
      </c>
      <c r="F18" s="76" t="s">
        <v>52</v>
      </c>
    </row>
    <row r="19" spans="1:6" x14ac:dyDescent="0.25">
      <c r="A19" s="75">
        <v>1</v>
      </c>
      <c r="B19" s="101" t="s">
        <v>208</v>
      </c>
      <c r="C19" s="25">
        <f>IF(D2&gt;400,0,D2/100)</f>
        <v>1</v>
      </c>
      <c r="D19" s="88">
        <f>ROUNDUP(C19,0)</f>
        <v>1</v>
      </c>
      <c r="E19" s="25">
        <f>IF(D2&gt;400,0,D2/50)</f>
        <v>2</v>
      </c>
      <c r="F19" s="77">
        <f>ROUNDUP(E19,0)</f>
        <v>2</v>
      </c>
    </row>
    <row r="20" spans="1:6" x14ac:dyDescent="0.25">
      <c r="A20" s="75">
        <v>2</v>
      </c>
      <c r="B20" s="101" t="s">
        <v>210</v>
      </c>
      <c r="C20" s="25">
        <f>IF(D2&gt;400,4+(D2-400)/250,0)</f>
        <v>0</v>
      </c>
      <c r="D20" s="88">
        <f>ROUNDUP(C20,0)</f>
        <v>0</v>
      </c>
      <c r="E20" s="25">
        <f>IF(D2&gt;400,D2/50,0)</f>
        <v>0</v>
      </c>
      <c r="F20" s="77">
        <f>ROUNDUP(E20,0)</f>
        <v>0</v>
      </c>
    </row>
    <row r="21" spans="1:6" ht="16.5" thickBot="1" x14ac:dyDescent="0.3">
      <c r="A21" s="113"/>
      <c r="B21" s="79" t="s">
        <v>66</v>
      </c>
      <c r="C21" s="82"/>
      <c r="D21" s="80">
        <f>SUM(D19:D20)</f>
        <v>1</v>
      </c>
      <c r="E21" s="82"/>
      <c r="F21" s="81">
        <f>SUM(F19:F20)</f>
        <v>2</v>
      </c>
    </row>
    <row r="22" spans="1:6" ht="17.25" thickTop="1" thickBot="1" x14ac:dyDescent="0.3"/>
    <row r="23" spans="1:6" ht="16.5" thickTop="1" x14ac:dyDescent="0.25">
      <c r="A23" s="1" t="s">
        <v>36</v>
      </c>
      <c r="B23" s="73" t="s">
        <v>212</v>
      </c>
      <c r="C23" s="2"/>
      <c r="D23" s="2"/>
      <c r="E23" s="2"/>
      <c r="F23" s="74"/>
    </row>
    <row r="24" spans="1:6" ht="31.5" x14ac:dyDescent="0.25">
      <c r="A24" s="112"/>
      <c r="B24" s="38" t="s">
        <v>49</v>
      </c>
      <c r="C24" s="25" t="s">
        <v>38</v>
      </c>
      <c r="D24" s="87" t="s">
        <v>40</v>
      </c>
      <c r="E24" s="25" t="s">
        <v>51</v>
      </c>
      <c r="F24" s="76" t="s">
        <v>52</v>
      </c>
    </row>
    <row r="25" spans="1:6" x14ac:dyDescent="0.25">
      <c r="A25" s="75">
        <v>1</v>
      </c>
      <c r="B25" s="101" t="s">
        <v>208</v>
      </c>
      <c r="C25" s="25">
        <f>IF(D3&gt;400,0,D3/100)</f>
        <v>3.2</v>
      </c>
      <c r="D25" s="88">
        <f>ROUNDUP(C25,0)</f>
        <v>4</v>
      </c>
      <c r="E25" s="25">
        <f>IF(D3&gt;400,0,D3/50)</f>
        <v>6.4</v>
      </c>
      <c r="F25" s="77">
        <f>ROUNDUP(E25,0)</f>
        <v>7</v>
      </c>
    </row>
    <row r="26" spans="1:6" x14ac:dyDescent="0.25">
      <c r="A26" s="75">
        <v>2</v>
      </c>
      <c r="B26" s="101" t="s">
        <v>210</v>
      </c>
      <c r="C26" s="25">
        <f>IF(D3&gt;400,4+(D3-400)/250,0)</f>
        <v>0</v>
      </c>
      <c r="D26" s="88">
        <f>ROUNDUP(C26,0)</f>
        <v>0</v>
      </c>
      <c r="E26" s="25">
        <f>IF(D3&gt;400,D3/50,0)</f>
        <v>0</v>
      </c>
      <c r="F26" s="77">
        <f>ROUNDUP(E26,0)</f>
        <v>0</v>
      </c>
    </row>
    <row r="27" spans="1:6" ht="16.5" thickBot="1" x14ac:dyDescent="0.3">
      <c r="A27" s="113"/>
      <c r="B27" s="79" t="s">
        <v>66</v>
      </c>
      <c r="C27" s="82"/>
      <c r="D27" s="80">
        <f>SUM(D25:D26)</f>
        <v>4</v>
      </c>
      <c r="E27" s="82"/>
      <c r="F27" s="81">
        <f>SUM(F25:F26)</f>
        <v>7</v>
      </c>
    </row>
    <row r="28" spans="1:6" ht="17.25" thickTop="1" thickBot="1" x14ac:dyDescent="0.3"/>
    <row r="29" spans="1:6" ht="16.5" thickTop="1" x14ac:dyDescent="0.25">
      <c r="A29" s="1" t="s">
        <v>36</v>
      </c>
      <c r="B29" s="73" t="s">
        <v>213</v>
      </c>
      <c r="C29" s="2"/>
      <c r="D29" s="2"/>
      <c r="E29" s="2"/>
      <c r="F29" s="74"/>
    </row>
    <row r="30" spans="1:6" ht="31.5" x14ac:dyDescent="0.25">
      <c r="A30" s="112"/>
      <c r="B30" s="38" t="s">
        <v>49</v>
      </c>
      <c r="C30" s="25" t="s">
        <v>38</v>
      </c>
      <c r="D30" s="87" t="s">
        <v>40</v>
      </c>
      <c r="E30" s="25" t="s">
        <v>51</v>
      </c>
      <c r="F30" s="76" t="s">
        <v>52</v>
      </c>
    </row>
    <row r="31" spans="1:6" x14ac:dyDescent="0.25">
      <c r="A31" s="75">
        <v>1</v>
      </c>
      <c r="B31" s="101" t="s">
        <v>208</v>
      </c>
      <c r="C31" s="25">
        <f>IF(D4&gt;400,0,D4/100)</f>
        <v>0</v>
      </c>
      <c r="D31" s="88">
        <f>ROUNDUP(C31,0)</f>
        <v>0</v>
      </c>
      <c r="E31" s="25">
        <f>IF(D4&gt;400,0,D4/50)</f>
        <v>0</v>
      </c>
      <c r="F31" s="77">
        <f>ROUNDUP(E31,0)</f>
        <v>0</v>
      </c>
    </row>
    <row r="32" spans="1:6" x14ac:dyDescent="0.25">
      <c r="A32" s="75">
        <v>2</v>
      </c>
      <c r="B32" s="101" t="s">
        <v>210</v>
      </c>
      <c r="C32" s="25">
        <f>IF(D4&gt;400,4+(D4-400)/250,0)</f>
        <v>4.6399999999999997</v>
      </c>
      <c r="D32" s="88">
        <f>ROUNDUP(C32,0)</f>
        <v>5</v>
      </c>
      <c r="E32" s="25">
        <f>IF(D4&gt;400,D4/50,0)</f>
        <v>11.2</v>
      </c>
      <c r="F32" s="77">
        <f>ROUNDUP(E32,0)</f>
        <v>12</v>
      </c>
    </row>
    <row r="33" spans="1:8" ht="16.5" thickBot="1" x14ac:dyDescent="0.3">
      <c r="A33" s="113"/>
      <c r="B33" s="79" t="s">
        <v>66</v>
      </c>
      <c r="C33" s="82"/>
      <c r="D33" s="80">
        <f>SUM(D31:D32)</f>
        <v>5</v>
      </c>
      <c r="E33" s="82"/>
      <c r="F33" s="81">
        <f>SUM(F31:F32)</f>
        <v>12</v>
      </c>
    </row>
    <row r="34" spans="1:8" ht="17.25" thickTop="1" thickBot="1" x14ac:dyDescent="0.3"/>
    <row r="35" spans="1:8" ht="16.5" thickTop="1" x14ac:dyDescent="0.25">
      <c r="A35" s="1" t="s">
        <v>36</v>
      </c>
      <c r="B35" s="73" t="s">
        <v>214</v>
      </c>
      <c r="C35" s="2"/>
      <c r="D35" s="2"/>
      <c r="E35" s="2"/>
      <c r="F35" s="74"/>
    </row>
    <row r="36" spans="1:8" ht="31.5" x14ac:dyDescent="0.25">
      <c r="A36" s="112"/>
      <c r="B36" s="38" t="s">
        <v>49</v>
      </c>
      <c r="C36" s="25" t="s">
        <v>38</v>
      </c>
      <c r="D36" s="87" t="s">
        <v>40</v>
      </c>
      <c r="E36" s="25" t="s">
        <v>51</v>
      </c>
      <c r="F36" s="76" t="s">
        <v>52</v>
      </c>
    </row>
    <row r="37" spans="1:8" x14ac:dyDescent="0.25">
      <c r="A37" s="75">
        <v>1</v>
      </c>
      <c r="B37" s="101" t="s">
        <v>208</v>
      </c>
      <c r="C37" s="25">
        <f>IF(D5&gt;400,0,D5/100)</f>
        <v>3.2</v>
      </c>
      <c r="D37" s="88">
        <f>ROUNDUP(C37,0)</f>
        <v>4</v>
      </c>
      <c r="E37" s="25">
        <f>IF(D5&gt;400,0,D5/50)</f>
        <v>6.4</v>
      </c>
      <c r="F37" s="77">
        <f>ROUNDUP(E37,0)</f>
        <v>7</v>
      </c>
    </row>
    <row r="38" spans="1:8" x14ac:dyDescent="0.25">
      <c r="A38" s="75">
        <v>2</v>
      </c>
      <c r="B38" s="101" t="s">
        <v>210</v>
      </c>
      <c r="C38" s="25">
        <f>IF(D5&gt;400,4+(D5-400)/250,0)</f>
        <v>0</v>
      </c>
      <c r="D38" s="88">
        <f>ROUNDUP(C38,0)</f>
        <v>0</v>
      </c>
      <c r="E38" s="25">
        <f>IF(D5&gt;400,D5/50,0)</f>
        <v>0</v>
      </c>
      <c r="F38" s="77">
        <f>ROUNDUP(E38,0)</f>
        <v>0</v>
      </c>
    </row>
    <row r="39" spans="1:8" ht="16.5" thickBot="1" x14ac:dyDescent="0.3">
      <c r="A39" s="113"/>
      <c r="B39" s="79" t="s">
        <v>66</v>
      </c>
      <c r="C39" s="82"/>
      <c r="D39" s="80">
        <f>SUM(D37:D38)</f>
        <v>4</v>
      </c>
      <c r="E39" s="82"/>
      <c r="F39" s="81">
        <f>SUM(F37:F38)</f>
        <v>7</v>
      </c>
    </row>
    <row r="40" spans="1:8" ht="16.5" thickTop="1" x14ac:dyDescent="0.25"/>
    <row r="43" spans="1:8" x14ac:dyDescent="0.25">
      <c r="A43" s="69"/>
      <c r="B43" s="68" t="s">
        <v>191</v>
      </c>
      <c r="C43" s="69"/>
      <c r="D43" s="69"/>
      <c r="E43" s="69"/>
      <c r="F43" s="69"/>
      <c r="G43" s="69"/>
      <c r="H43" s="69"/>
    </row>
    <row r="44" spans="1:8" x14ac:dyDescent="0.25">
      <c r="A44" s="69"/>
      <c r="B44" s="68" t="s">
        <v>192</v>
      </c>
      <c r="C44" s="69"/>
      <c r="D44" s="69"/>
      <c r="E44" s="69"/>
      <c r="F44" s="69"/>
      <c r="G44" s="69"/>
      <c r="H44" s="69"/>
    </row>
    <row r="45" spans="1:8" x14ac:dyDescent="0.25">
      <c r="A45" s="69"/>
      <c r="B45" s="110" t="s">
        <v>194</v>
      </c>
      <c r="C45" s="110" t="s">
        <v>195</v>
      </c>
      <c r="D45" s="69"/>
      <c r="E45" s="69"/>
      <c r="F45" s="69"/>
      <c r="G45" s="69"/>
      <c r="H45" s="69"/>
    </row>
    <row r="46" spans="1:8" ht="47.25" x14ac:dyDescent="0.25">
      <c r="A46" s="69"/>
      <c r="B46" s="85" t="s">
        <v>196</v>
      </c>
      <c r="C46" s="85" t="s">
        <v>197</v>
      </c>
      <c r="D46" s="69"/>
      <c r="E46" s="69"/>
      <c r="F46" s="69"/>
      <c r="G46" s="69"/>
      <c r="H46" s="69"/>
    </row>
    <row r="47" spans="1:8" ht="53.25" customHeight="1" x14ac:dyDescent="0.25">
      <c r="A47" s="71">
        <v>1</v>
      </c>
      <c r="B47" s="111" t="s">
        <v>215</v>
      </c>
      <c r="C47" s="85" t="s">
        <v>198</v>
      </c>
      <c r="D47" s="69"/>
      <c r="E47" s="69"/>
      <c r="F47" s="69"/>
      <c r="G47" s="69"/>
      <c r="H47" s="69"/>
    </row>
    <row r="48" spans="1:8" ht="70.5" customHeight="1" x14ac:dyDescent="0.25">
      <c r="A48" s="71">
        <v>2</v>
      </c>
      <c r="B48" s="111" t="s">
        <v>216</v>
      </c>
      <c r="C48" s="85" t="s">
        <v>199</v>
      </c>
      <c r="D48" s="69"/>
      <c r="E48" s="69"/>
      <c r="F48" s="69"/>
      <c r="G48" s="69"/>
      <c r="H48" s="69"/>
    </row>
    <row r="50" spans="1:4" ht="16.5" thickBot="1" x14ac:dyDescent="0.3"/>
    <row r="51" spans="1:4" ht="16.5" thickTop="1" x14ac:dyDescent="0.25">
      <c r="A51" s="1" t="s">
        <v>36</v>
      </c>
      <c r="B51" s="73" t="s">
        <v>211</v>
      </c>
      <c r="C51" s="2"/>
      <c r="D51" s="74"/>
    </row>
    <row r="52" spans="1:4" ht="31.5" x14ac:dyDescent="0.25">
      <c r="A52" s="112"/>
      <c r="B52" s="38" t="s">
        <v>53</v>
      </c>
      <c r="C52" s="25"/>
      <c r="D52" s="76" t="s">
        <v>41</v>
      </c>
    </row>
    <row r="53" spans="1:4" x14ac:dyDescent="0.25">
      <c r="A53" s="75">
        <v>1</v>
      </c>
      <c r="B53" s="101" t="s">
        <v>215</v>
      </c>
      <c r="C53" s="118">
        <f>IF(E2&gt;250,0,(E2/50))</f>
        <v>3</v>
      </c>
      <c r="D53" s="77">
        <f>ROUNDUP(C53,0)*2</f>
        <v>6</v>
      </c>
    </row>
    <row r="54" spans="1:4" x14ac:dyDescent="0.25">
      <c r="A54" s="75">
        <v>2</v>
      </c>
      <c r="B54" s="101" t="s">
        <v>217</v>
      </c>
      <c r="C54" s="118">
        <f>IF(E2&gt;250,10+(E2-250)/40,0)</f>
        <v>0</v>
      </c>
      <c r="D54" s="77">
        <f>ROUNDUP(C54,0)</f>
        <v>0</v>
      </c>
    </row>
    <row r="55" spans="1:4" ht="16.5" thickBot="1" x14ac:dyDescent="0.3">
      <c r="A55" s="113"/>
      <c r="B55" s="79" t="s">
        <v>66</v>
      </c>
      <c r="C55" s="82"/>
      <c r="D55" s="81">
        <f>SUM(D53:D54)</f>
        <v>6</v>
      </c>
    </row>
    <row r="56" spans="1:4" ht="17.25" thickTop="1" thickBot="1" x14ac:dyDescent="0.3"/>
    <row r="57" spans="1:4" ht="16.5" thickTop="1" x14ac:dyDescent="0.25">
      <c r="A57" s="1" t="s">
        <v>36</v>
      </c>
      <c r="B57" s="73" t="s">
        <v>212</v>
      </c>
      <c r="C57" s="2"/>
      <c r="D57" s="74"/>
    </row>
    <row r="58" spans="1:4" ht="31.5" x14ac:dyDescent="0.25">
      <c r="A58" s="112"/>
      <c r="B58" s="38" t="s">
        <v>53</v>
      </c>
      <c r="C58" s="25"/>
      <c r="D58" s="76" t="s">
        <v>41</v>
      </c>
    </row>
    <row r="59" spans="1:4" x14ac:dyDescent="0.25">
      <c r="A59" s="75">
        <v>1</v>
      </c>
      <c r="B59" s="101" t="s">
        <v>215</v>
      </c>
      <c r="C59" s="118">
        <f>IF(E3&gt;250,0,(E3/50))</f>
        <v>0</v>
      </c>
      <c r="D59" s="77">
        <f>ROUNDUP(C59,0)*2</f>
        <v>0</v>
      </c>
    </row>
    <row r="60" spans="1:4" x14ac:dyDescent="0.25">
      <c r="A60" s="75">
        <v>2</v>
      </c>
      <c r="B60" s="101" t="s">
        <v>217</v>
      </c>
      <c r="C60" s="118">
        <f>IF(E3&gt;250,10+(E3-250)/40,0)</f>
        <v>15.75</v>
      </c>
      <c r="D60" s="77">
        <f>ROUNDUP(C60,0)</f>
        <v>16</v>
      </c>
    </row>
    <row r="61" spans="1:4" ht="16.5" thickBot="1" x14ac:dyDescent="0.3">
      <c r="A61" s="113"/>
      <c r="B61" s="79" t="s">
        <v>66</v>
      </c>
      <c r="C61" s="82"/>
      <c r="D61" s="81">
        <f>SUM(D59:D60)</f>
        <v>16</v>
      </c>
    </row>
    <row r="62" spans="1:4" ht="17.25" thickTop="1" thickBot="1" x14ac:dyDescent="0.3"/>
    <row r="63" spans="1:4" ht="16.5" thickTop="1" x14ac:dyDescent="0.25">
      <c r="A63" s="1" t="s">
        <v>36</v>
      </c>
      <c r="B63" s="73" t="s">
        <v>213</v>
      </c>
      <c r="C63" s="2"/>
      <c r="D63" s="74"/>
    </row>
    <row r="64" spans="1:4" ht="31.5" x14ac:dyDescent="0.25">
      <c r="A64" s="112"/>
      <c r="B64" s="38" t="s">
        <v>53</v>
      </c>
      <c r="C64" s="25"/>
      <c r="D64" s="76" t="s">
        <v>41</v>
      </c>
    </row>
    <row r="65" spans="1:6" x14ac:dyDescent="0.25">
      <c r="A65" s="75">
        <v>1</v>
      </c>
      <c r="B65" s="101" t="s">
        <v>215</v>
      </c>
      <c r="C65" s="118">
        <f>IF(E4&gt;250,0,(E4/50))</f>
        <v>0</v>
      </c>
      <c r="D65" s="77">
        <f>ROUNDUP(C65,0)*2</f>
        <v>0</v>
      </c>
    </row>
    <row r="66" spans="1:6" x14ac:dyDescent="0.25">
      <c r="A66" s="75">
        <v>2</v>
      </c>
      <c r="B66" s="101" t="s">
        <v>217</v>
      </c>
      <c r="C66" s="118">
        <f>IF(E4&gt;250,10+(E4-250)/40,0)</f>
        <v>24.75</v>
      </c>
      <c r="D66" s="77">
        <f>ROUNDUP(C66,0)</f>
        <v>25</v>
      </c>
    </row>
    <row r="67" spans="1:6" ht="16.5" thickBot="1" x14ac:dyDescent="0.3">
      <c r="A67" s="113"/>
      <c r="B67" s="79" t="s">
        <v>66</v>
      </c>
      <c r="C67" s="82"/>
      <c r="D67" s="81">
        <f>SUM(D65:D66)</f>
        <v>25</v>
      </c>
    </row>
    <row r="68" spans="1:6" ht="17.25" thickTop="1" thickBot="1" x14ac:dyDescent="0.3"/>
    <row r="69" spans="1:6" ht="16.5" thickTop="1" x14ac:dyDescent="0.25">
      <c r="A69" s="1" t="s">
        <v>36</v>
      </c>
      <c r="B69" s="73" t="s">
        <v>214</v>
      </c>
      <c r="C69" s="2"/>
      <c r="D69" s="74"/>
    </row>
    <row r="70" spans="1:6" ht="31.5" x14ac:dyDescent="0.25">
      <c r="A70" s="112"/>
      <c r="B70" s="38" t="s">
        <v>53</v>
      </c>
      <c r="C70" s="25"/>
      <c r="D70" s="76" t="s">
        <v>41</v>
      </c>
    </row>
    <row r="71" spans="1:6" x14ac:dyDescent="0.25">
      <c r="A71" s="75">
        <v>1</v>
      </c>
      <c r="B71" s="101" t="s">
        <v>215</v>
      </c>
      <c r="C71" s="118">
        <f>IF(E5&gt;250,0,(E5/50))</f>
        <v>0</v>
      </c>
      <c r="D71" s="77">
        <f>ROUNDUP(C71,0)*2</f>
        <v>0</v>
      </c>
    </row>
    <row r="72" spans="1:6" x14ac:dyDescent="0.25">
      <c r="A72" s="75">
        <v>2</v>
      </c>
      <c r="B72" s="101" t="s">
        <v>217</v>
      </c>
      <c r="C72" s="118">
        <f>IF(E5&gt;250,10+(E5-250)/40,0)</f>
        <v>15.75</v>
      </c>
      <c r="D72" s="77">
        <f>ROUNDUP(C72,0)</f>
        <v>16</v>
      </c>
    </row>
    <row r="73" spans="1:6" ht="16.5" thickBot="1" x14ac:dyDescent="0.3">
      <c r="A73" s="113"/>
      <c r="B73" s="79" t="s">
        <v>66</v>
      </c>
      <c r="C73" s="82"/>
      <c r="D73" s="81">
        <f>SUM(D71:D72)</f>
        <v>16</v>
      </c>
    </row>
    <row r="74" spans="1:6" ht="16.5" thickTop="1" x14ac:dyDescent="0.25"/>
    <row r="77" spans="1:6" x14ac:dyDescent="0.25">
      <c r="A77" s="69"/>
      <c r="B77" s="68" t="s">
        <v>200</v>
      </c>
      <c r="C77" s="69"/>
      <c r="D77" s="69"/>
      <c r="E77" s="69"/>
      <c r="F77" s="69"/>
    </row>
    <row r="78" spans="1:6" x14ac:dyDescent="0.25">
      <c r="A78" s="69"/>
      <c r="B78" s="68" t="s">
        <v>201</v>
      </c>
      <c r="C78" s="69"/>
      <c r="D78" s="69"/>
      <c r="E78" s="69"/>
      <c r="F78" s="69"/>
    </row>
    <row r="79" spans="1:6" x14ac:dyDescent="0.25">
      <c r="A79" s="69"/>
      <c r="B79" s="110" t="s">
        <v>194</v>
      </c>
      <c r="C79" s="110" t="s">
        <v>195</v>
      </c>
      <c r="D79" s="69"/>
      <c r="E79" s="69"/>
      <c r="F79" s="69"/>
    </row>
    <row r="80" spans="1:6" ht="31.5" x14ac:dyDescent="0.25">
      <c r="A80" s="69"/>
      <c r="B80" s="85" t="s">
        <v>202</v>
      </c>
      <c r="C80" s="85" t="s">
        <v>203</v>
      </c>
      <c r="D80" s="69"/>
      <c r="E80" s="69"/>
      <c r="F80" s="69"/>
    </row>
    <row r="81" spans="1:6" ht="54.75" customHeight="1" x14ac:dyDescent="0.25">
      <c r="A81" s="71">
        <v>1</v>
      </c>
      <c r="B81" s="111" t="s">
        <v>204</v>
      </c>
      <c r="C81" s="85" t="s">
        <v>188</v>
      </c>
      <c r="D81" s="69"/>
      <c r="E81" s="69"/>
      <c r="F81" s="69"/>
    </row>
    <row r="82" spans="1:6" ht="54.75" customHeight="1" x14ac:dyDescent="0.25">
      <c r="A82" s="71">
        <v>2</v>
      </c>
      <c r="B82" s="111" t="s">
        <v>205</v>
      </c>
      <c r="C82" s="85" t="s">
        <v>206</v>
      </c>
      <c r="D82" s="69"/>
      <c r="E82" s="69"/>
      <c r="F82" s="69"/>
    </row>
    <row r="84" spans="1:6" ht="16.5" thickBot="1" x14ac:dyDescent="0.3"/>
    <row r="85" spans="1:6" ht="16.5" thickTop="1" x14ac:dyDescent="0.25">
      <c r="A85" s="1" t="s">
        <v>36</v>
      </c>
      <c r="B85" s="73" t="s">
        <v>211</v>
      </c>
      <c r="C85" s="2"/>
      <c r="D85" s="2"/>
      <c r="E85" s="2"/>
      <c r="F85" s="74"/>
    </row>
    <row r="86" spans="1:6" ht="31.5" x14ac:dyDescent="0.25">
      <c r="A86" s="75"/>
      <c r="B86" s="38"/>
      <c r="C86" s="25" t="s">
        <v>134</v>
      </c>
      <c r="D86" s="87" t="s">
        <v>135</v>
      </c>
      <c r="E86" s="25" t="s">
        <v>136</v>
      </c>
      <c r="F86" s="76" t="s">
        <v>137</v>
      </c>
    </row>
    <row r="87" spans="1:6" x14ac:dyDescent="0.25">
      <c r="A87" s="75"/>
      <c r="B87" s="101"/>
      <c r="C87" s="25">
        <f>D2/100</f>
        <v>1</v>
      </c>
      <c r="D87" s="88">
        <f>ROUNDUP(C87,0)</f>
        <v>1</v>
      </c>
      <c r="E87" s="25">
        <f>E2/100</f>
        <v>1.5</v>
      </c>
      <c r="F87" s="77">
        <f>ROUNDUP(E87,0)</f>
        <v>2</v>
      </c>
    </row>
    <row r="88" spans="1:6" ht="16.5" thickBot="1" x14ac:dyDescent="0.3">
      <c r="A88" s="113"/>
      <c r="B88" s="79" t="s">
        <v>66</v>
      </c>
      <c r="C88" s="91"/>
      <c r="D88" s="80">
        <f>SUM(D87)</f>
        <v>1</v>
      </c>
      <c r="E88" s="80"/>
      <c r="F88" s="81">
        <f>SUM(F87)</f>
        <v>2</v>
      </c>
    </row>
    <row r="89" spans="1:6" ht="17.25" thickTop="1" thickBot="1" x14ac:dyDescent="0.3"/>
    <row r="90" spans="1:6" ht="16.5" thickTop="1" x14ac:dyDescent="0.25">
      <c r="A90" s="1" t="s">
        <v>36</v>
      </c>
      <c r="B90" s="73" t="s">
        <v>212</v>
      </c>
      <c r="C90" s="2"/>
      <c r="D90" s="2"/>
      <c r="E90" s="2"/>
      <c r="F90" s="74"/>
    </row>
    <row r="91" spans="1:6" ht="31.5" x14ac:dyDescent="0.25">
      <c r="A91" s="75"/>
      <c r="B91" s="38"/>
      <c r="C91" s="25" t="s">
        <v>134</v>
      </c>
      <c r="D91" s="87" t="s">
        <v>135</v>
      </c>
      <c r="E91" s="25" t="s">
        <v>136</v>
      </c>
      <c r="F91" s="76" t="s">
        <v>137</v>
      </c>
    </row>
    <row r="92" spans="1:6" x14ac:dyDescent="0.25">
      <c r="A92" s="75"/>
      <c r="B92" s="101"/>
      <c r="C92" s="25">
        <f>D3/100</f>
        <v>3.2</v>
      </c>
      <c r="D92" s="88">
        <f>ROUNDUP(C92,0)</f>
        <v>4</v>
      </c>
      <c r="E92" s="25">
        <f>E3/100</f>
        <v>4.8</v>
      </c>
      <c r="F92" s="77">
        <f>ROUNDUP(E92,0)</f>
        <v>5</v>
      </c>
    </row>
    <row r="93" spans="1:6" ht="16.5" thickBot="1" x14ac:dyDescent="0.3">
      <c r="A93" s="113"/>
      <c r="B93" s="79" t="s">
        <v>66</v>
      </c>
      <c r="C93" s="91"/>
      <c r="D93" s="80">
        <f>SUM(D92)</f>
        <v>4</v>
      </c>
      <c r="E93" s="80"/>
      <c r="F93" s="81">
        <f>SUM(F92)</f>
        <v>5</v>
      </c>
    </row>
    <row r="94" spans="1:6" ht="17.25" thickTop="1" thickBot="1" x14ac:dyDescent="0.3"/>
    <row r="95" spans="1:6" ht="16.5" thickTop="1" x14ac:dyDescent="0.25">
      <c r="A95" s="1" t="s">
        <v>36</v>
      </c>
      <c r="B95" s="73" t="s">
        <v>213</v>
      </c>
      <c r="C95" s="2"/>
      <c r="D95" s="2"/>
      <c r="E95" s="2"/>
      <c r="F95" s="74"/>
    </row>
    <row r="96" spans="1:6" ht="31.5" x14ac:dyDescent="0.25">
      <c r="A96" s="75"/>
      <c r="B96" s="38"/>
      <c r="C96" s="25" t="s">
        <v>134</v>
      </c>
      <c r="D96" s="87" t="s">
        <v>135</v>
      </c>
      <c r="E96" s="25" t="s">
        <v>136</v>
      </c>
      <c r="F96" s="76" t="s">
        <v>137</v>
      </c>
    </row>
    <row r="97" spans="1:6" x14ac:dyDescent="0.25">
      <c r="A97" s="75"/>
      <c r="B97" s="101"/>
      <c r="C97" s="25">
        <f>D4/100</f>
        <v>5.6</v>
      </c>
      <c r="D97" s="88">
        <f>ROUNDUP(C97,0)</f>
        <v>6</v>
      </c>
      <c r="E97" s="25">
        <f>E4/100</f>
        <v>8.4</v>
      </c>
      <c r="F97" s="77">
        <f>ROUNDUP(E97,0)</f>
        <v>9</v>
      </c>
    </row>
    <row r="98" spans="1:6" ht="16.5" thickBot="1" x14ac:dyDescent="0.3">
      <c r="A98" s="113"/>
      <c r="B98" s="79" t="s">
        <v>66</v>
      </c>
      <c r="C98" s="91"/>
      <c r="D98" s="80">
        <f>SUM(D97)</f>
        <v>6</v>
      </c>
      <c r="E98" s="80"/>
      <c r="F98" s="81">
        <f>SUM(F97)</f>
        <v>9</v>
      </c>
    </row>
    <row r="99" spans="1:6" ht="17.25" thickTop="1" thickBot="1" x14ac:dyDescent="0.3"/>
    <row r="100" spans="1:6" ht="16.5" thickTop="1" x14ac:dyDescent="0.25">
      <c r="A100" s="1" t="s">
        <v>36</v>
      </c>
      <c r="B100" s="73" t="s">
        <v>214</v>
      </c>
      <c r="C100" s="2"/>
      <c r="D100" s="2"/>
      <c r="E100" s="2"/>
      <c r="F100" s="74"/>
    </row>
    <row r="101" spans="1:6" ht="31.5" x14ac:dyDescent="0.25">
      <c r="A101" s="75"/>
      <c r="B101" s="38"/>
      <c r="C101" s="25" t="s">
        <v>134</v>
      </c>
      <c r="D101" s="87" t="s">
        <v>135</v>
      </c>
      <c r="E101" s="25" t="s">
        <v>136</v>
      </c>
      <c r="F101" s="76" t="s">
        <v>137</v>
      </c>
    </row>
    <row r="102" spans="1:6" x14ac:dyDescent="0.25">
      <c r="A102" s="75"/>
      <c r="B102" s="101"/>
      <c r="C102" s="25">
        <f>D5/100</f>
        <v>3.2</v>
      </c>
      <c r="D102" s="88">
        <f>ROUNDUP(C102,0)</f>
        <v>4</v>
      </c>
      <c r="E102" s="25">
        <f>E5/100</f>
        <v>4.8</v>
      </c>
      <c r="F102" s="77">
        <f>ROUNDUP(E102,0)</f>
        <v>5</v>
      </c>
    </row>
    <row r="103" spans="1:6" ht="16.5" thickBot="1" x14ac:dyDescent="0.3">
      <c r="A103" s="113"/>
      <c r="B103" s="79" t="s">
        <v>66</v>
      </c>
      <c r="C103" s="91"/>
      <c r="D103" s="80">
        <f>SUM(D102)</f>
        <v>4</v>
      </c>
      <c r="E103" s="80"/>
      <c r="F103" s="81">
        <f>SUM(F102)</f>
        <v>5</v>
      </c>
    </row>
    <row r="104" spans="1:6" ht="16.5" thickTop="1" x14ac:dyDescent="0.25"/>
  </sheetData>
  <sheetProtection algorithmName="SHA-512" hashValue="Y84H/g4Jxbi8Ogc8POn64bx+I/4zPHpCyfgNhhXbtBDnL5DkK/kzpF2IbGSWPe6q0MuYCuxreMXQXP/O51RdTA==" saltValue="4rhQtuTrmUtrNPgUuGj8VA==" spinCount="100000" sheet="1" objects="1" scenarios="1"/>
  <phoneticPr fontId="1" type="noConversion"/>
  <pageMargins left="0.7" right="0.7" top="0.75" bottom="0.75" header="0.3" footer="0.3"/>
  <pageSetup paperSize="9" scale="86" orientation="portrait" r:id="rId1"/>
  <rowBreaks count="2" manualBreakCount="2">
    <brk id="40" max="7" man="1"/>
    <brk id="74" max="7" man="1"/>
  </rowBreaks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view="pageBreakPreview" zoomScaleNormal="100" zoomScaleSheetLayoutView="100" workbookViewId="0">
      <pane ySplit="3" topLeftCell="A4" activePane="bottomLeft" state="frozen"/>
      <selection pane="bottomLeft" activeCell="F3" sqref="F3"/>
    </sheetView>
  </sheetViews>
  <sheetFormatPr defaultRowHeight="15.75" x14ac:dyDescent="0.25"/>
  <cols>
    <col min="1" max="1" width="9" style="3"/>
    <col min="2" max="2" width="14.625" style="3" customWidth="1"/>
    <col min="3" max="3" width="17.375" style="3" bestFit="1" customWidth="1"/>
    <col min="4" max="4" width="13.875" style="3" customWidth="1"/>
    <col min="5" max="5" width="16.125" style="3" customWidth="1"/>
    <col min="6" max="6" width="10.75" style="3" customWidth="1"/>
    <col min="7" max="16384" width="9" style="3"/>
  </cols>
  <sheetData>
    <row r="1" spans="1:8" x14ac:dyDescent="0.25">
      <c r="B1" s="61" t="s">
        <v>3</v>
      </c>
      <c r="C1" s="62" t="s">
        <v>0</v>
      </c>
      <c r="D1" s="62" t="s">
        <v>1</v>
      </c>
      <c r="E1" s="63" t="s">
        <v>2</v>
      </c>
    </row>
    <row r="2" spans="1:8" x14ac:dyDescent="0.25">
      <c r="B2" s="64" t="s">
        <v>220</v>
      </c>
      <c r="C2" s="65">
        <f>Calculator!I30</f>
        <v>1200</v>
      </c>
      <c r="D2" s="65">
        <f>Calculator!K30</f>
        <v>600</v>
      </c>
      <c r="E2" s="66">
        <f>Calculator!M30</f>
        <v>600</v>
      </c>
    </row>
    <row r="3" spans="1:8" x14ac:dyDescent="0.25">
      <c r="B3" s="64" t="s">
        <v>221</v>
      </c>
      <c r="C3" s="65">
        <f>Calculator!I31</f>
        <v>900</v>
      </c>
      <c r="D3" s="65">
        <f>Calculator!K31</f>
        <v>450</v>
      </c>
      <c r="E3" s="66">
        <f>Calculator!M31</f>
        <v>450</v>
      </c>
    </row>
    <row r="6" spans="1:8" x14ac:dyDescent="0.25">
      <c r="A6" s="69"/>
      <c r="B6" s="68" t="s">
        <v>222</v>
      </c>
      <c r="C6" s="69"/>
      <c r="D6" s="69"/>
      <c r="E6" s="69"/>
      <c r="F6" s="69"/>
      <c r="G6" s="69"/>
      <c r="H6" s="69"/>
    </row>
    <row r="7" spans="1:8" x14ac:dyDescent="0.25">
      <c r="A7" s="69"/>
      <c r="B7" s="68" t="s">
        <v>223</v>
      </c>
      <c r="C7" s="69"/>
      <c r="D7" s="69"/>
      <c r="E7" s="69"/>
      <c r="F7" s="69"/>
      <c r="G7" s="69"/>
      <c r="H7" s="69"/>
    </row>
    <row r="8" spans="1:8" x14ac:dyDescent="0.25">
      <c r="A8" s="69"/>
      <c r="B8" s="110" t="s">
        <v>85</v>
      </c>
      <c r="C8" s="110" t="s">
        <v>86</v>
      </c>
      <c r="D8" s="69"/>
      <c r="E8" s="69"/>
      <c r="F8" s="69"/>
      <c r="G8" s="69"/>
      <c r="H8" s="69"/>
    </row>
    <row r="9" spans="1:8" ht="47.25" x14ac:dyDescent="0.25">
      <c r="A9" s="69"/>
      <c r="B9" s="85" t="s">
        <v>224</v>
      </c>
      <c r="C9" s="85" t="s">
        <v>225</v>
      </c>
      <c r="D9" s="69"/>
      <c r="E9" s="69"/>
      <c r="F9" s="69"/>
      <c r="G9" s="69"/>
      <c r="H9" s="69"/>
    </row>
    <row r="10" spans="1:8" ht="72.75" customHeight="1" x14ac:dyDescent="0.25">
      <c r="A10" s="71">
        <v>1</v>
      </c>
      <c r="B10" s="86" t="s">
        <v>188</v>
      </c>
      <c r="C10" s="85" t="s">
        <v>226</v>
      </c>
      <c r="D10" s="69"/>
      <c r="E10" s="69"/>
      <c r="F10" s="69"/>
      <c r="G10" s="69"/>
      <c r="H10" s="69"/>
    </row>
    <row r="12" spans="1:8" ht="16.5" thickBot="1" x14ac:dyDescent="0.3"/>
    <row r="13" spans="1:8" ht="16.5" thickTop="1" x14ac:dyDescent="0.25">
      <c r="A13" s="1" t="s">
        <v>36</v>
      </c>
      <c r="B13" s="73" t="s">
        <v>234</v>
      </c>
      <c r="C13" s="2"/>
      <c r="D13" s="2"/>
      <c r="E13" s="2"/>
      <c r="F13" s="74"/>
    </row>
    <row r="14" spans="1:8" ht="31.5" x14ac:dyDescent="0.25">
      <c r="A14" s="112"/>
      <c r="B14" s="38"/>
      <c r="C14" s="25" t="s">
        <v>38</v>
      </c>
      <c r="D14" s="87" t="s">
        <v>40</v>
      </c>
      <c r="E14" s="25" t="s">
        <v>51</v>
      </c>
      <c r="F14" s="76" t="s">
        <v>52</v>
      </c>
    </row>
    <row r="15" spans="1:8" x14ac:dyDescent="0.25">
      <c r="A15" s="75"/>
      <c r="B15" s="101"/>
      <c r="C15" s="25">
        <f>D2/100</f>
        <v>6</v>
      </c>
      <c r="D15" s="88">
        <f>ROUNDUP(C15,0)</f>
        <v>6</v>
      </c>
      <c r="E15" s="25">
        <f>D2/100</f>
        <v>6</v>
      </c>
      <c r="F15" s="77">
        <f>ROUNDUP(E15,0)</f>
        <v>6</v>
      </c>
    </row>
    <row r="16" spans="1:8" ht="16.5" thickBot="1" x14ac:dyDescent="0.3">
      <c r="A16" s="113"/>
      <c r="B16" s="79" t="s">
        <v>66</v>
      </c>
      <c r="C16" s="82"/>
      <c r="D16" s="80">
        <f>SUM(D15)</f>
        <v>6</v>
      </c>
      <c r="E16" s="82"/>
      <c r="F16" s="81">
        <f>SUM(F15)</f>
        <v>6</v>
      </c>
    </row>
    <row r="17" spans="1:7" ht="17.25" thickTop="1" thickBot="1" x14ac:dyDescent="0.3"/>
    <row r="18" spans="1:7" ht="16.5" thickTop="1" x14ac:dyDescent="0.25">
      <c r="A18" s="1" t="s">
        <v>36</v>
      </c>
      <c r="B18" s="73" t="s">
        <v>235</v>
      </c>
      <c r="C18" s="2"/>
      <c r="D18" s="2"/>
      <c r="E18" s="2"/>
      <c r="F18" s="74"/>
    </row>
    <row r="19" spans="1:7" ht="31.5" x14ac:dyDescent="0.25">
      <c r="A19" s="112"/>
      <c r="B19" s="38"/>
      <c r="C19" s="25" t="s">
        <v>38</v>
      </c>
      <c r="D19" s="87" t="s">
        <v>40</v>
      </c>
      <c r="E19" s="25" t="s">
        <v>51</v>
      </c>
      <c r="F19" s="76" t="s">
        <v>52</v>
      </c>
    </row>
    <row r="20" spans="1:7" x14ac:dyDescent="0.25">
      <c r="A20" s="75"/>
      <c r="B20" s="101"/>
      <c r="C20" s="25">
        <f>D3/100</f>
        <v>4.5</v>
      </c>
      <c r="D20" s="88">
        <f>ROUNDUP(C20,0)</f>
        <v>5</v>
      </c>
      <c r="E20" s="25">
        <f>D3/100</f>
        <v>4.5</v>
      </c>
      <c r="F20" s="77">
        <f>ROUNDUP(E20,0)</f>
        <v>5</v>
      </c>
    </row>
    <row r="21" spans="1:7" ht="15.75" customHeight="1" thickBot="1" x14ac:dyDescent="0.3">
      <c r="A21" s="113"/>
      <c r="B21" s="79" t="s">
        <v>66</v>
      </c>
      <c r="C21" s="82"/>
      <c r="D21" s="80">
        <f>SUM(D20)</f>
        <v>5</v>
      </c>
      <c r="E21" s="82"/>
      <c r="F21" s="81">
        <f>SUM(F20)</f>
        <v>5</v>
      </c>
    </row>
    <row r="22" spans="1:7" ht="16.5" thickTop="1" x14ac:dyDescent="0.25"/>
    <row r="25" spans="1:7" x14ac:dyDescent="0.25">
      <c r="A25" s="69"/>
      <c r="B25" s="68" t="s">
        <v>227</v>
      </c>
      <c r="C25" s="69"/>
      <c r="D25" s="69"/>
      <c r="E25" s="69"/>
      <c r="F25" s="69"/>
      <c r="G25" s="69"/>
    </row>
    <row r="26" spans="1:7" x14ac:dyDescent="0.25">
      <c r="A26" s="69"/>
      <c r="B26" s="68" t="s">
        <v>228</v>
      </c>
      <c r="C26" s="69"/>
      <c r="D26" s="69"/>
      <c r="E26" s="69"/>
      <c r="F26" s="69"/>
      <c r="G26" s="69"/>
    </row>
    <row r="27" spans="1:7" x14ac:dyDescent="0.25">
      <c r="A27" s="71">
        <v>1</v>
      </c>
      <c r="B27" s="69" t="s">
        <v>229</v>
      </c>
      <c r="C27" s="69"/>
      <c r="D27" s="69"/>
      <c r="E27" s="69"/>
      <c r="F27" s="69"/>
      <c r="G27" s="69"/>
    </row>
    <row r="29" spans="1:7" ht="16.5" thickBot="1" x14ac:dyDescent="0.3"/>
    <row r="30" spans="1:7" ht="16.5" thickTop="1" x14ac:dyDescent="0.25">
      <c r="A30" s="1" t="s">
        <v>36</v>
      </c>
      <c r="B30" s="73" t="s">
        <v>234</v>
      </c>
      <c r="C30" s="2"/>
      <c r="D30" s="74"/>
    </row>
    <row r="31" spans="1:7" ht="31.5" x14ac:dyDescent="0.25">
      <c r="A31" s="112"/>
      <c r="B31" s="38"/>
      <c r="C31" s="25" t="s">
        <v>39</v>
      </c>
      <c r="D31" s="76" t="s">
        <v>41</v>
      </c>
    </row>
    <row r="32" spans="1:7" x14ac:dyDescent="0.25">
      <c r="A32" s="75"/>
      <c r="B32" s="101"/>
      <c r="C32" s="25">
        <f>E2/50</f>
        <v>12</v>
      </c>
      <c r="D32" s="77">
        <f>ROUNDUP(C32,0)</f>
        <v>12</v>
      </c>
    </row>
    <row r="33" spans="1:10" ht="16.5" thickBot="1" x14ac:dyDescent="0.3">
      <c r="A33" s="113"/>
      <c r="B33" s="79" t="s">
        <v>66</v>
      </c>
      <c r="C33" s="82"/>
      <c r="D33" s="81">
        <f>SUM(D32)</f>
        <v>12</v>
      </c>
    </row>
    <row r="34" spans="1:10" ht="17.25" thickTop="1" thickBot="1" x14ac:dyDescent="0.3"/>
    <row r="35" spans="1:10" ht="16.5" thickTop="1" x14ac:dyDescent="0.25">
      <c r="A35" s="1" t="s">
        <v>36</v>
      </c>
      <c r="B35" s="73" t="s">
        <v>235</v>
      </c>
      <c r="C35" s="2"/>
      <c r="D35" s="74"/>
    </row>
    <row r="36" spans="1:10" ht="31.5" x14ac:dyDescent="0.25">
      <c r="A36" s="112"/>
      <c r="B36" s="38"/>
      <c r="C36" s="25" t="s">
        <v>39</v>
      </c>
      <c r="D36" s="76" t="s">
        <v>41</v>
      </c>
    </row>
    <row r="37" spans="1:10" x14ac:dyDescent="0.25">
      <c r="A37" s="75"/>
      <c r="B37" s="101"/>
      <c r="C37" s="25">
        <f>E3/50</f>
        <v>9</v>
      </c>
      <c r="D37" s="77">
        <f>ROUNDUP(C37,0)</f>
        <v>9</v>
      </c>
    </row>
    <row r="38" spans="1:10" ht="16.5" thickBot="1" x14ac:dyDescent="0.3">
      <c r="A38" s="113"/>
      <c r="B38" s="79" t="s">
        <v>66</v>
      </c>
      <c r="C38" s="82"/>
      <c r="D38" s="81">
        <f>SUM(D37)</f>
        <v>9</v>
      </c>
    </row>
    <row r="39" spans="1:10" ht="16.5" thickTop="1" x14ac:dyDescent="0.25"/>
    <row r="42" spans="1:10" x14ac:dyDescent="0.25">
      <c r="A42" s="69"/>
      <c r="B42" s="68" t="s">
        <v>230</v>
      </c>
      <c r="C42" s="69"/>
      <c r="D42" s="69"/>
      <c r="E42" s="69"/>
      <c r="F42" s="69"/>
      <c r="G42" s="69"/>
      <c r="H42" s="69"/>
      <c r="I42" s="69"/>
      <c r="J42" s="69"/>
    </row>
    <row r="43" spans="1:10" x14ac:dyDescent="0.25">
      <c r="A43" s="69"/>
      <c r="B43" s="68" t="s">
        <v>442</v>
      </c>
      <c r="C43" s="69"/>
      <c r="D43" s="69"/>
      <c r="E43" s="69"/>
      <c r="F43" s="69"/>
      <c r="G43" s="69"/>
      <c r="H43" s="69"/>
      <c r="I43" s="69"/>
      <c r="J43" s="69"/>
    </row>
    <row r="44" spans="1:10" x14ac:dyDescent="0.25">
      <c r="A44" s="69"/>
      <c r="B44" s="110" t="s">
        <v>194</v>
      </c>
      <c r="C44" s="110" t="s">
        <v>195</v>
      </c>
      <c r="D44" s="69"/>
      <c r="E44" s="69"/>
      <c r="F44" s="69"/>
      <c r="G44" s="69"/>
      <c r="H44" s="69"/>
      <c r="I44" s="69"/>
      <c r="J44" s="69"/>
    </row>
    <row r="45" spans="1:10" ht="31.5" x14ac:dyDescent="0.25">
      <c r="A45" s="69"/>
      <c r="B45" s="85" t="s">
        <v>231</v>
      </c>
      <c r="C45" s="85" t="s">
        <v>203</v>
      </c>
      <c r="D45" s="69"/>
      <c r="E45" s="69"/>
      <c r="F45" s="69"/>
      <c r="G45" s="69"/>
      <c r="H45" s="69"/>
      <c r="I45" s="69"/>
      <c r="J45" s="69"/>
    </row>
    <row r="46" spans="1:10" ht="47.25" x14ac:dyDescent="0.25">
      <c r="A46" s="71">
        <v>1</v>
      </c>
      <c r="B46" s="86" t="s">
        <v>204</v>
      </c>
      <c r="C46" s="85" t="s">
        <v>232</v>
      </c>
      <c r="D46" s="69"/>
      <c r="E46" s="69"/>
      <c r="F46" s="69"/>
      <c r="G46" s="69"/>
      <c r="H46" s="69"/>
      <c r="I46" s="69"/>
      <c r="J46" s="69"/>
    </row>
    <row r="47" spans="1:10" ht="77.25" customHeight="1" x14ac:dyDescent="0.25">
      <c r="A47" s="71">
        <v>2</v>
      </c>
      <c r="B47" s="86" t="s">
        <v>205</v>
      </c>
      <c r="C47" s="85" t="s">
        <v>233</v>
      </c>
      <c r="D47" s="69"/>
      <c r="E47" s="69"/>
      <c r="F47" s="69"/>
      <c r="G47" s="69"/>
      <c r="H47" s="69"/>
      <c r="I47" s="69"/>
      <c r="J47" s="69"/>
    </row>
    <row r="49" spans="1:6" ht="16.5" thickBot="1" x14ac:dyDescent="0.3"/>
    <row r="50" spans="1:6" ht="16.5" thickTop="1" x14ac:dyDescent="0.25">
      <c r="A50" s="1" t="s">
        <v>36</v>
      </c>
      <c r="B50" s="73" t="s">
        <v>234</v>
      </c>
      <c r="C50" s="2"/>
      <c r="D50" s="2"/>
      <c r="E50" s="2"/>
      <c r="F50" s="74"/>
    </row>
    <row r="51" spans="1:6" ht="31.5" x14ac:dyDescent="0.25">
      <c r="A51" s="75"/>
      <c r="B51" s="38"/>
      <c r="C51" s="25" t="s">
        <v>134</v>
      </c>
      <c r="D51" s="87" t="s">
        <v>135</v>
      </c>
      <c r="E51" s="25" t="s">
        <v>136</v>
      </c>
      <c r="F51" s="76" t="s">
        <v>137</v>
      </c>
    </row>
    <row r="52" spans="1:6" x14ac:dyDescent="0.25">
      <c r="A52" s="75"/>
      <c r="B52" s="101"/>
      <c r="C52" s="25">
        <f>D2/100</f>
        <v>6</v>
      </c>
      <c r="D52" s="88">
        <f>ROUNDUP(C52,0)</f>
        <v>6</v>
      </c>
      <c r="E52" s="25">
        <f>E2/100</f>
        <v>6</v>
      </c>
      <c r="F52" s="77">
        <f>ROUNDUP(E52,0)</f>
        <v>6</v>
      </c>
    </row>
    <row r="53" spans="1:6" ht="16.5" thickBot="1" x14ac:dyDescent="0.3">
      <c r="A53" s="113"/>
      <c r="B53" s="79" t="s">
        <v>66</v>
      </c>
      <c r="C53" s="91"/>
      <c r="D53" s="80">
        <f>SUM(D52)</f>
        <v>6</v>
      </c>
      <c r="E53" s="80"/>
      <c r="F53" s="81">
        <f>SUM(F52)</f>
        <v>6</v>
      </c>
    </row>
    <row r="54" spans="1:6" ht="17.25" thickTop="1" thickBot="1" x14ac:dyDescent="0.3"/>
    <row r="55" spans="1:6" ht="16.5" thickTop="1" x14ac:dyDescent="0.25">
      <c r="A55" s="1" t="s">
        <v>36</v>
      </c>
      <c r="B55" s="73" t="s">
        <v>235</v>
      </c>
      <c r="C55" s="2"/>
      <c r="D55" s="2"/>
      <c r="E55" s="2"/>
      <c r="F55" s="74"/>
    </row>
    <row r="56" spans="1:6" ht="31.5" x14ac:dyDescent="0.25">
      <c r="A56" s="75"/>
      <c r="B56" s="38"/>
      <c r="C56" s="25" t="s">
        <v>134</v>
      </c>
      <c r="D56" s="87" t="s">
        <v>135</v>
      </c>
      <c r="E56" s="25" t="s">
        <v>136</v>
      </c>
      <c r="F56" s="76" t="s">
        <v>137</v>
      </c>
    </row>
    <row r="57" spans="1:6" x14ac:dyDescent="0.25">
      <c r="A57" s="75"/>
      <c r="B57" s="101"/>
      <c r="C57" s="25">
        <f>D3/100</f>
        <v>4.5</v>
      </c>
      <c r="D57" s="88">
        <f>ROUNDUP(C57,0)</f>
        <v>5</v>
      </c>
      <c r="E57" s="25">
        <f>E3/100</f>
        <v>4.5</v>
      </c>
      <c r="F57" s="77">
        <f>ROUNDUP(E57,0)</f>
        <v>5</v>
      </c>
    </row>
    <row r="58" spans="1:6" ht="16.5" thickBot="1" x14ac:dyDescent="0.3">
      <c r="A58" s="113"/>
      <c r="B58" s="79" t="s">
        <v>66</v>
      </c>
      <c r="C58" s="91"/>
      <c r="D58" s="80">
        <f>SUM(D57)</f>
        <v>5</v>
      </c>
      <c r="E58" s="80"/>
      <c r="F58" s="81">
        <f>SUM(F57)</f>
        <v>5</v>
      </c>
    </row>
    <row r="59" spans="1:6" ht="16.5" thickTop="1" x14ac:dyDescent="0.25"/>
  </sheetData>
  <sheetProtection algorithmName="SHA-512" hashValue="uvjPgwbFbaFP1z5ahDPl9ZkVwCtgtNhmMFWqg/vrOuUDCPAVugTRfW+Q4K0Qko0NH2WMU5+bmuLOWbMBNIfLaw==" saltValue="+XeXnZ3M3GSqtmW9rPpU8w==" spinCount="100000" sheet="1" objects="1" scenarios="1"/>
  <phoneticPr fontId="1" type="noConversion"/>
  <pageMargins left="0.70866141732283472" right="0.70866141732283472" top="0.74803149606299213" bottom="0.74803149606299213" header="0.31496062992125984" footer="0.31496062992125984"/>
  <pageSetup paperSize="9" scale="96" orientation="portrait" r:id="rId1"/>
  <rowBreaks count="1" manualBreakCount="1">
    <brk id="40" max="6" man="1"/>
  </rowBreaks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BreakPreview" zoomScaleNormal="100" zoomScaleSheetLayoutView="100" workbookViewId="0">
      <pane ySplit="2" topLeftCell="A3" activePane="bottomLeft" state="frozen"/>
      <selection pane="bottomLeft" activeCell="F2" sqref="F2"/>
    </sheetView>
  </sheetViews>
  <sheetFormatPr defaultRowHeight="15.75" x14ac:dyDescent="0.25"/>
  <cols>
    <col min="1" max="1" width="9" style="3"/>
    <col min="2" max="2" width="15.875" style="3" customWidth="1"/>
    <col min="3" max="4" width="19.875" style="3" customWidth="1"/>
    <col min="5" max="6" width="20.75" style="3" customWidth="1"/>
    <col min="7" max="16384" width="9" style="3"/>
  </cols>
  <sheetData>
    <row r="1" spans="1:7" x14ac:dyDescent="0.25">
      <c r="B1" s="61" t="s">
        <v>3</v>
      </c>
      <c r="C1" s="62" t="s">
        <v>0</v>
      </c>
      <c r="D1" s="62" t="s">
        <v>1</v>
      </c>
      <c r="E1" s="63" t="s">
        <v>2</v>
      </c>
    </row>
    <row r="2" spans="1:7" x14ac:dyDescent="0.25">
      <c r="B2" s="64" t="s">
        <v>265</v>
      </c>
      <c r="C2" s="65">
        <f>Calculator!I35</f>
        <v>5000</v>
      </c>
      <c r="D2" s="65">
        <f>Calculator!K35</f>
        <v>2000</v>
      </c>
      <c r="E2" s="66">
        <f>Calculator!M35</f>
        <v>3000</v>
      </c>
    </row>
    <row r="5" spans="1:7" x14ac:dyDescent="0.25">
      <c r="A5" s="69"/>
      <c r="B5" s="68" t="s">
        <v>236</v>
      </c>
      <c r="C5" s="69"/>
      <c r="D5" s="69"/>
      <c r="E5" s="69"/>
      <c r="F5" s="69"/>
      <c r="G5" s="69"/>
    </row>
    <row r="6" spans="1:7" x14ac:dyDescent="0.25">
      <c r="A6" s="69"/>
      <c r="B6" s="68" t="s">
        <v>237</v>
      </c>
      <c r="C6" s="69"/>
      <c r="D6" s="69"/>
      <c r="E6" s="69"/>
      <c r="F6" s="69"/>
      <c r="G6" s="69"/>
    </row>
    <row r="7" spans="1:7" x14ac:dyDescent="0.25">
      <c r="A7" s="69"/>
      <c r="B7" s="110" t="s">
        <v>238</v>
      </c>
      <c r="C7" s="110" t="s">
        <v>239</v>
      </c>
      <c r="D7" s="110" t="s">
        <v>240</v>
      </c>
      <c r="E7" s="69"/>
      <c r="F7" s="69"/>
      <c r="G7" s="69"/>
    </row>
    <row r="8" spans="1:7" ht="31.5" x14ac:dyDescent="0.25">
      <c r="A8" s="69"/>
      <c r="B8" s="85" t="s">
        <v>241</v>
      </c>
      <c r="C8" s="85" t="s">
        <v>242</v>
      </c>
      <c r="D8" s="85" t="s">
        <v>245</v>
      </c>
      <c r="E8" s="69"/>
      <c r="F8" s="69"/>
      <c r="G8" s="69"/>
    </row>
    <row r="9" spans="1:7" ht="63" x14ac:dyDescent="0.25">
      <c r="A9" s="71">
        <v>1</v>
      </c>
      <c r="B9" s="86" t="s">
        <v>267</v>
      </c>
      <c r="C9" s="85">
        <v>1</v>
      </c>
      <c r="D9" s="85" t="s">
        <v>243</v>
      </c>
      <c r="E9" s="69"/>
      <c r="F9" s="69"/>
      <c r="G9" s="69"/>
    </row>
    <row r="10" spans="1:7" ht="47.25" x14ac:dyDescent="0.25">
      <c r="A10" s="71">
        <v>2</v>
      </c>
      <c r="B10" s="86" t="s">
        <v>268</v>
      </c>
      <c r="C10" s="85">
        <v>2</v>
      </c>
      <c r="D10" s="85" t="s">
        <v>243</v>
      </c>
      <c r="E10" s="69"/>
      <c r="F10" s="69"/>
      <c r="G10" s="69"/>
    </row>
    <row r="11" spans="1:7" ht="47.25" x14ac:dyDescent="0.25">
      <c r="A11" s="71">
        <v>3</v>
      </c>
      <c r="B11" s="86" t="s">
        <v>270</v>
      </c>
      <c r="C11" s="85">
        <v>3</v>
      </c>
      <c r="D11" s="85" t="s">
        <v>243</v>
      </c>
      <c r="E11" s="69"/>
      <c r="F11" s="69"/>
      <c r="G11" s="69"/>
    </row>
    <row r="12" spans="1:7" ht="63" x14ac:dyDescent="0.25">
      <c r="A12" s="71">
        <v>4</v>
      </c>
      <c r="B12" s="86" t="s">
        <v>272</v>
      </c>
      <c r="C12" s="85" t="s">
        <v>244</v>
      </c>
      <c r="D12" s="85" t="s">
        <v>243</v>
      </c>
      <c r="E12" s="69"/>
      <c r="F12" s="69"/>
      <c r="G12" s="69"/>
    </row>
    <row r="14" spans="1:7" ht="16.5" thickBot="1" x14ac:dyDescent="0.3"/>
    <row r="15" spans="1:7" ht="16.5" thickTop="1" x14ac:dyDescent="0.25">
      <c r="A15" s="1" t="s">
        <v>36</v>
      </c>
      <c r="B15" s="73" t="s">
        <v>266</v>
      </c>
      <c r="C15" s="2"/>
      <c r="D15" s="2"/>
      <c r="E15" s="2"/>
      <c r="F15" s="74"/>
    </row>
    <row r="16" spans="1:7" ht="31.5" x14ac:dyDescent="0.25">
      <c r="A16" s="112"/>
      <c r="B16" s="38" t="s">
        <v>49</v>
      </c>
      <c r="C16" s="25" t="s">
        <v>38</v>
      </c>
      <c r="D16" s="87" t="s">
        <v>40</v>
      </c>
      <c r="E16" s="25" t="s">
        <v>51</v>
      </c>
      <c r="F16" s="76" t="s">
        <v>52</v>
      </c>
    </row>
    <row r="17" spans="1:6" x14ac:dyDescent="0.25">
      <c r="A17" s="75">
        <v>1</v>
      </c>
      <c r="B17" s="101" t="s">
        <v>267</v>
      </c>
      <c r="C17" s="25">
        <f>IF(D2&gt;200,0,C9)</f>
        <v>0</v>
      </c>
      <c r="D17" s="88">
        <f>ROUNDUP(C17,0)</f>
        <v>0</v>
      </c>
      <c r="E17" s="25">
        <f>IF(D2&gt;200,0,D2/100)</f>
        <v>0</v>
      </c>
      <c r="F17" s="77">
        <f>ROUNDUP(E17,0)</f>
        <v>0</v>
      </c>
    </row>
    <row r="18" spans="1:6" x14ac:dyDescent="0.25">
      <c r="A18" s="75">
        <v>2</v>
      </c>
      <c r="B18" s="101" t="s">
        <v>269</v>
      </c>
      <c r="C18" s="25">
        <f>IF(AND(D2&gt;200,D2&lt;501),C10,0)</f>
        <v>0</v>
      </c>
      <c r="D18" s="88">
        <f>ROUNDUP(C18,0)</f>
        <v>0</v>
      </c>
      <c r="E18" s="25">
        <f>IF(AND(D2&gt;200,D2&lt;501),D2/100,0)</f>
        <v>0</v>
      </c>
      <c r="F18" s="77">
        <f>ROUNDUP(E18,0)</f>
        <v>0</v>
      </c>
    </row>
    <row r="19" spans="1:6" x14ac:dyDescent="0.25">
      <c r="A19" s="75">
        <v>3</v>
      </c>
      <c r="B19" s="101" t="s">
        <v>271</v>
      </c>
      <c r="C19" s="25">
        <f>IF(AND(D2&gt;500,D2&lt;1001),C11,0)</f>
        <v>0</v>
      </c>
      <c r="D19" s="88">
        <f>ROUNDUP(C19,0)</f>
        <v>0</v>
      </c>
      <c r="E19" s="25">
        <f>IF(AND(D2&gt;500,D2&lt;1001),D2/100,0)</f>
        <v>0</v>
      </c>
      <c r="F19" s="77">
        <f>ROUNDUP(E19,0)</f>
        <v>0</v>
      </c>
    </row>
    <row r="20" spans="1:6" x14ac:dyDescent="0.25">
      <c r="A20" s="75">
        <v>4</v>
      </c>
      <c r="B20" s="101" t="s">
        <v>273</v>
      </c>
      <c r="C20" s="25">
        <f>IF(D2&gt;1000,3+(D2-1000)/500,0)</f>
        <v>5</v>
      </c>
      <c r="D20" s="88">
        <f>ROUNDUP(C20,0)</f>
        <v>5</v>
      </c>
      <c r="E20" s="25">
        <f>IF(D2&gt;1000,D2/100,0)</f>
        <v>20</v>
      </c>
      <c r="F20" s="77">
        <f>ROUNDUP(E20,0)</f>
        <v>20</v>
      </c>
    </row>
    <row r="21" spans="1:6" ht="16.5" thickBot="1" x14ac:dyDescent="0.3">
      <c r="A21" s="113"/>
      <c r="B21" s="79" t="s">
        <v>66</v>
      </c>
      <c r="C21" s="82"/>
      <c r="D21" s="80">
        <f>SUM(D17:D20)</f>
        <v>5</v>
      </c>
      <c r="E21" s="82"/>
      <c r="F21" s="81">
        <f>SUM(F17:F20)</f>
        <v>20</v>
      </c>
    </row>
    <row r="22" spans="1:6" ht="16.5" thickTop="1" x14ac:dyDescent="0.25"/>
    <row r="25" spans="1:6" x14ac:dyDescent="0.25">
      <c r="A25" s="69"/>
      <c r="B25" s="68" t="s">
        <v>246</v>
      </c>
      <c r="C25" s="69"/>
      <c r="D25" s="69"/>
      <c r="E25" s="69"/>
    </row>
    <row r="26" spans="1:6" x14ac:dyDescent="0.25">
      <c r="A26" s="69"/>
      <c r="B26" s="68" t="s">
        <v>247</v>
      </c>
      <c r="C26" s="69"/>
      <c r="D26" s="69"/>
      <c r="E26" s="69"/>
    </row>
    <row r="27" spans="1:6" x14ac:dyDescent="0.25">
      <c r="A27" s="69"/>
      <c r="B27" s="110" t="s">
        <v>238</v>
      </c>
      <c r="C27" s="110" t="s">
        <v>239</v>
      </c>
      <c r="D27" s="69"/>
      <c r="E27" s="69"/>
    </row>
    <row r="28" spans="1:6" ht="31.5" x14ac:dyDescent="0.25">
      <c r="A28" s="69"/>
      <c r="B28" s="85" t="s">
        <v>250</v>
      </c>
      <c r="C28" s="85" t="s">
        <v>251</v>
      </c>
      <c r="D28" s="69"/>
      <c r="E28" s="69"/>
    </row>
    <row r="29" spans="1:6" ht="47.25" x14ac:dyDescent="0.25">
      <c r="A29" s="71">
        <v>1</v>
      </c>
      <c r="B29" s="86" t="s">
        <v>274</v>
      </c>
      <c r="C29" s="85" t="s">
        <v>253</v>
      </c>
      <c r="D29" s="69"/>
      <c r="E29" s="69"/>
    </row>
    <row r="30" spans="1:6" ht="47.25" x14ac:dyDescent="0.25">
      <c r="A30" s="71">
        <v>2</v>
      </c>
      <c r="B30" s="86" t="s">
        <v>252</v>
      </c>
      <c r="C30" s="85" t="s">
        <v>254</v>
      </c>
      <c r="D30" s="69"/>
      <c r="E30" s="69"/>
    </row>
    <row r="31" spans="1:6" ht="47.25" x14ac:dyDescent="0.25">
      <c r="A31" s="71">
        <v>3</v>
      </c>
      <c r="B31" s="86" t="s">
        <v>276</v>
      </c>
      <c r="C31" s="85" t="s">
        <v>255</v>
      </c>
      <c r="D31" s="69"/>
      <c r="E31" s="69"/>
    </row>
    <row r="32" spans="1:6" ht="47.25" x14ac:dyDescent="0.25">
      <c r="A32" s="71">
        <v>4</v>
      </c>
      <c r="B32" s="86" t="s">
        <v>277</v>
      </c>
      <c r="C32" s="85" t="s">
        <v>256</v>
      </c>
      <c r="D32" s="69"/>
      <c r="E32" s="69"/>
    </row>
    <row r="34" spans="1:4" ht="16.5" thickBot="1" x14ac:dyDescent="0.3"/>
    <row r="35" spans="1:4" ht="16.5" thickTop="1" x14ac:dyDescent="0.25">
      <c r="A35" s="1" t="s">
        <v>36</v>
      </c>
      <c r="B35" s="73" t="s">
        <v>266</v>
      </c>
      <c r="C35" s="2"/>
      <c r="D35" s="74"/>
    </row>
    <row r="36" spans="1:4" ht="31.5" x14ac:dyDescent="0.25">
      <c r="A36" s="112"/>
      <c r="B36" s="38" t="s">
        <v>53</v>
      </c>
      <c r="C36" s="25" t="s">
        <v>39</v>
      </c>
      <c r="D36" s="76" t="s">
        <v>41</v>
      </c>
    </row>
    <row r="37" spans="1:4" x14ac:dyDescent="0.25">
      <c r="A37" s="75">
        <v>1</v>
      </c>
      <c r="B37" s="101" t="s">
        <v>274</v>
      </c>
      <c r="C37" s="25">
        <f>IF(E2&gt;120,0,E2/40)</f>
        <v>0</v>
      </c>
      <c r="D37" s="77">
        <f>ROUNDUP(C37,0)</f>
        <v>0</v>
      </c>
    </row>
    <row r="38" spans="1:4" x14ac:dyDescent="0.25">
      <c r="A38" s="75">
        <v>2</v>
      </c>
      <c r="B38" s="101" t="s">
        <v>275</v>
      </c>
      <c r="C38" s="25">
        <f>IF(AND(E2&gt;120,E2&lt;251),3+(E2-120)/65,0)</f>
        <v>0</v>
      </c>
      <c r="D38" s="77">
        <f>ROUNDUP(C38,0)</f>
        <v>0</v>
      </c>
    </row>
    <row r="39" spans="1:4" x14ac:dyDescent="0.25">
      <c r="A39" s="75">
        <v>3</v>
      </c>
      <c r="B39" s="101" t="s">
        <v>248</v>
      </c>
      <c r="C39" s="25">
        <f>IF(AND(E2&gt;250,E2&lt;421),5+(E2-250)/85,0)</f>
        <v>0</v>
      </c>
      <c r="D39" s="77">
        <f>ROUNDUP(C39,0)</f>
        <v>0</v>
      </c>
    </row>
    <row r="40" spans="1:4" x14ac:dyDescent="0.25">
      <c r="A40" s="75">
        <v>4</v>
      </c>
      <c r="B40" s="101" t="s">
        <v>249</v>
      </c>
      <c r="C40" s="25">
        <f>IF(E2&gt;420,7+(E2-420)/100,0)</f>
        <v>32.799999999999997</v>
      </c>
      <c r="D40" s="77">
        <f>ROUNDUP(C40,0)</f>
        <v>33</v>
      </c>
    </row>
    <row r="41" spans="1:4" ht="16.5" thickBot="1" x14ac:dyDescent="0.3">
      <c r="A41" s="113"/>
      <c r="B41" s="79" t="s">
        <v>66</v>
      </c>
      <c r="C41" s="82"/>
      <c r="D41" s="81">
        <f>SUM(D37:D40)</f>
        <v>33</v>
      </c>
    </row>
    <row r="42" spans="1:4" ht="16.5" thickTop="1" x14ac:dyDescent="0.25"/>
    <row r="45" spans="1:4" x14ac:dyDescent="0.25">
      <c r="A45" s="69"/>
      <c r="B45" s="68" t="s">
        <v>257</v>
      </c>
      <c r="C45" s="69"/>
      <c r="D45" s="69"/>
    </row>
    <row r="46" spans="1:4" x14ac:dyDescent="0.25">
      <c r="A46" s="69"/>
      <c r="B46" s="68" t="s">
        <v>258</v>
      </c>
      <c r="C46" s="69"/>
      <c r="D46" s="69"/>
    </row>
    <row r="47" spans="1:4" x14ac:dyDescent="0.25">
      <c r="A47" s="69"/>
      <c r="B47" s="110" t="s">
        <v>238</v>
      </c>
      <c r="C47" s="110" t="s">
        <v>239</v>
      </c>
      <c r="D47" s="69"/>
    </row>
    <row r="48" spans="1:4" ht="31.5" x14ac:dyDescent="0.25">
      <c r="A48" s="69"/>
      <c r="B48" s="85" t="s">
        <v>260</v>
      </c>
      <c r="C48" s="85" t="s">
        <v>203</v>
      </c>
      <c r="D48" s="69"/>
    </row>
    <row r="49" spans="1:6" ht="47.25" x14ac:dyDescent="0.25">
      <c r="A49" s="71">
        <v>1</v>
      </c>
      <c r="B49" s="86" t="s">
        <v>261</v>
      </c>
      <c r="C49" s="85" t="s">
        <v>263</v>
      </c>
      <c r="D49" s="69"/>
    </row>
    <row r="50" spans="1:6" ht="47.25" x14ac:dyDescent="0.25">
      <c r="A50" s="71">
        <v>2</v>
      </c>
      <c r="B50" s="86" t="s">
        <v>262</v>
      </c>
      <c r="C50" s="85" t="s">
        <v>264</v>
      </c>
      <c r="D50" s="69"/>
    </row>
    <row r="51" spans="1:6" x14ac:dyDescent="0.25">
      <c r="A51" s="119"/>
      <c r="B51" s="120"/>
      <c r="C51" s="121"/>
      <c r="D51" s="53"/>
    </row>
    <row r="52" spans="1:6" ht="16.5" thickBot="1" x14ac:dyDescent="0.3"/>
    <row r="53" spans="1:6" ht="16.5" thickTop="1" x14ac:dyDescent="0.25">
      <c r="A53" s="1" t="s">
        <v>36</v>
      </c>
      <c r="B53" s="73" t="s">
        <v>266</v>
      </c>
      <c r="C53" s="2"/>
      <c r="D53" s="2"/>
      <c r="E53" s="2"/>
      <c r="F53" s="74"/>
    </row>
    <row r="54" spans="1:6" ht="31.5" x14ac:dyDescent="0.25">
      <c r="A54" s="75"/>
      <c r="B54" s="38"/>
      <c r="C54" s="25" t="s">
        <v>134</v>
      </c>
      <c r="D54" s="87" t="s">
        <v>135</v>
      </c>
      <c r="E54" s="25" t="s">
        <v>136</v>
      </c>
      <c r="F54" s="76" t="s">
        <v>137</v>
      </c>
    </row>
    <row r="55" spans="1:6" x14ac:dyDescent="0.25">
      <c r="A55" s="75"/>
      <c r="B55" s="101"/>
      <c r="C55" s="25">
        <f>D2/100</f>
        <v>20</v>
      </c>
      <c r="D55" s="88">
        <f>ROUNDUP(C55,0)</f>
        <v>20</v>
      </c>
      <c r="E55" s="25">
        <f>E2/100</f>
        <v>30</v>
      </c>
      <c r="F55" s="77">
        <f>ROUNDUP(E55,0)</f>
        <v>30</v>
      </c>
    </row>
    <row r="56" spans="1:6" ht="16.5" thickBot="1" x14ac:dyDescent="0.3">
      <c r="A56" s="113"/>
      <c r="B56" s="79" t="s">
        <v>66</v>
      </c>
      <c r="C56" s="91"/>
      <c r="D56" s="80">
        <f>SUM(D55)</f>
        <v>20</v>
      </c>
      <c r="E56" s="80"/>
      <c r="F56" s="81">
        <f>SUM(F55)</f>
        <v>30</v>
      </c>
    </row>
    <row r="57" spans="1:6" ht="16.5" thickTop="1" x14ac:dyDescent="0.25"/>
  </sheetData>
  <sheetProtection algorithmName="SHA-512" hashValue="ANns8ZcVJcMfNQky65+q0QkFA5IvUfdBXVy+H+PY46h5r/phwWTAB2iMXwYe7Dw1dSL6mQtmsGSYdYWhN6kFjA==" saltValue="IwZYjm0A+/BJCJvr3cY0og==" spinCount="100000" sheet="1" objects="1" scenarios="1"/>
  <phoneticPr fontId="1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1" manualBreakCount="1">
    <brk id="2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view="pageBreakPreview" zoomScaleNormal="100" zoomScaleSheetLayoutView="100" workbookViewId="0">
      <pane ySplit="3" topLeftCell="A4" activePane="bottomLeft" state="frozen"/>
      <selection pane="bottomLeft" activeCell="F2" sqref="F2"/>
    </sheetView>
  </sheetViews>
  <sheetFormatPr defaultRowHeight="15.75" x14ac:dyDescent="0.25"/>
  <cols>
    <col min="1" max="1" width="9" style="3"/>
    <col min="2" max="2" width="16.125" style="3" customWidth="1"/>
    <col min="3" max="3" width="18.375" style="3" customWidth="1"/>
    <col min="4" max="4" width="20" style="3" customWidth="1"/>
    <col min="5" max="6" width="16.875" style="3" customWidth="1"/>
    <col min="7" max="16384" width="9" style="3"/>
  </cols>
  <sheetData>
    <row r="1" spans="1:10" x14ac:dyDescent="0.25">
      <c r="B1" s="61" t="s">
        <v>3</v>
      </c>
      <c r="C1" s="62" t="s">
        <v>0</v>
      </c>
      <c r="D1" s="62" t="s">
        <v>1</v>
      </c>
      <c r="E1" s="63" t="s">
        <v>2</v>
      </c>
    </row>
    <row r="2" spans="1:10" x14ac:dyDescent="0.25">
      <c r="B2" s="64" t="s">
        <v>282</v>
      </c>
      <c r="C2" s="65">
        <f>Calculator!I40</f>
        <v>334</v>
      </c>
      <c r="D2" s="65">
        <f>Calculator!K40</f>
        <v>134</v>
      </c>
      <c r="E2" s="66">
        <f>Calculator!M40</f>
        <v>201</v>
      </c>
    </row>
    <row r="3" spans="1:10" x14ac:dyDescent="0.25">
      <c r="B3" s="64" t="s">
        <v>283</v>
      </c>
      <c r="C3" s="65">
        <f>Calculator!I41</f>
        <v>1112</v>
      </c>
      <c r="D3" s="65">
        <f>Calculator!K41</f>
        <v>445</v>
      </c>
      <c r="E3" s="66">
        <f>Calculator!M41</f>
        <v>668</v>
      </c>
    </row>
    <row r="6" spans="1:10" x14ac:dyDescent="0.25">
      <c r="A6" s="69"/>
      <c r="B6" s="68" t="s">
        <v>284</v>
      </c>
      <c r="C6" s="69"/>
      <c r="D6" s="69"/>
      <c r="E6" s="69"/>
      <c r="F6" s="69"/>
      <c r="G6" s="69"/>
      <c r="H6" s="69"/>
      <c r="I6" s="69"/>
      <c r="J6" s="69"/>
    </row>
    <row r="7" spans="1:10" x14ac:dyDescent="0.25">
      <c r="A7" s="69"/>
      <c r="B7" s="68" t="s">
        <v>285</v>
      </c>
      <c r="C7" s="69"/>
      <c r="D7" s="69"/>
      <c r="E7" s="69"/>
      <c r="F7" s="69"/>
      <c r="G7" s="69"/>
      <c r="H7" s="69"/>
      <c r="I7" s="69"/>
      <c r="J7" s="69"/>
    </row>
    <row r="8" spans="1:10" x14ac:dyDescent="0.25">
      <c r="A8" s="69"/>
      <c r="B8" s="110" t="s">
        <v>290</v>
      </c>
      <c r="C8" s="110" t="s">
        <v>291</v>
      </c>
      <c r="D8" s="110" t="s">
        <v>292</v>
      </c>
      <c r="E8" s="69"/>
      <c r="F8" s="69"/>
      <c r="G8" s="69"/>
      <c r="H8" s="69"/>
      <c r="I8" s="69"/>
      <c r="J8" s="69"/>
    </row>
    <row r="9" spans="1:10" ht="63" x14ac:dyDescent="0.25">
      <c r="A9" s="69"/>
      <c r="B9" s="85" t="s">
        <v>293</v>
      </c>
      <c r="C9" s="85" t="s">
        <v>294</v>
      </c>
      <c r="D9" s="85" t="s">
        <v>295</v>
      </c>
      <c r="E9" s="69"/>
      <c r="F9" s="69"/>
      <c r="G9" s="69"/>
      <c r="H9" s="69"/>
      <c r="I9" s="69"/>
      <c r="J9" s="69"/>
    </row>
    <row r="10" spans="1:10" ht="63" x14ac:dyDescent="0.25">
      <c r="A10" s="71">
        <v>1</v>
      </c>
      <c r="B10" s="86" t="s">
        <v>324</v>
      </c>
      <c r="C10" s="85" t="s">
        <v>286</v>
      </c>
      <c r="D10" s="85" t="s">
        <v>287</v>
      </c>
      <c r="E10" s="69"/>
      <c r="F10" s="69"/>
      <c r="G10" s="69"/>
      <c r="H10" s="69"/>
      <c r="I10" s="69"/>
      <c r="J10" s="69"/>
    </row>
    <row r="11" spans="1:10" ht="63" x14ac:dyDescent="0.25">
      <c r="A11" s="71">
        <v>2</v>
      </c>
      <c r="B11" s="86" t="s">
        <v>327</v>
      </c>
      <c r="C11" s="85" t="s">
        <v>288</v>
      </c>
      <c r="D11" s="85" t="s">
        <v>289</v>
      </c>
      <c r="E11" s="69"/>
      <c r="F11" s="69"/>
      <c r="G11" s="69"/>
      <c r="H11" s="69"/>
      <c r="I11" s="69"/>
      <c r="J11" s="69"/>
    </row>
    <row r="13" spans="1:10" ht="16.5" thickBot="1" x14ac:dyDescent="0.3"/>
    <row r="14" spans="1:10" ht="16.5" thickTop="1" x14ac:dyDescent="0.25">
      <c r="A14" s="1" t="s">
        <v>36</v>
      </c>
      <c r="B14" s="73" t="s">
        <v>323</v>
      </c>
      <c r="C14" s="2"/>
      <c r="D14" s="2"/>
      <c r="E14" s="2"/>
      <c r="F14" s="74"/>
    </row>
    <row r="15" spans="1:10" ht="31.5" x14ac:dyDescent="0.25">
      <c r="A15" s="112"/>
      <c r="B15" s="38" t="s">
        <v>49</v>
      </c>
      <c r="C15" s="25" t="s">
        <v>38</v>
      </c>
      <c r="D15" s="87" t="s">
        <v>40</v>
      </c>
      <c r="E15" s="25" t="s">
        <v>51</v>
      </c>
      <c r="F15" s="76" t="s">
        <v>52</v>
      </c>
    </row>
    <row r="16" spans="1:10" x14ac:dyDescent="0.25">
      <c r="A16" s="75">
        <v>1</v>
      </c>
      <c r="B16" s="101" t="s">
        <v>325</v>
      </c>
      <c r="C16" s="25">
        <f>IF(D2&gt;500,0,D2/125)</f>
        <v>1.0720000000000001</v>
      </c>
      <c r="D16" s="88">
        <f>ROUNDUP(C16,0)</f>
        <v>2</v>
      </c>
      <c r="E16" s="25">
        <f>IF(D2&gt;500,0,D2/250)</f>
        <v>0.53600000000000003</v>
      </c>
      <c r="F16" s="77">
        <f>ROUNDUP(E16,0)</f>
        <v>1</v>
      </c>
    </row>
    <row r="17" spans="1:9" x14ac:dyDescent="0.25">
      <c r="A17" s="75">
        <v>2</v>
      </c>
      <c r="B17" s="101" t="s">
        <v>326</v>
      </c>
      <c r="C17" s="25">
        <f>IF(D2&gt;500,4+(D2-500)/250,0)</f>
        <v>0</v>
      </c>
      <c r="D17" s="88">
        <f>ROUNDUP(C17,0)</f>
        <v>0</v>
      </c>
      <c r="E17" s="25">
        <f>IF(D2&gt;500,D2/250,0)</f>
        <v>0</v>
      </c>
      <c r="F17" s="77">
        <f>ROUNDUP(E17,0)</f>
        <v>0</v>
      </c>
    </row>
    <row r="18" spans="1:9" ht="16.5" thickBot="1" x14ac:dyDescent="0.3">
      <c r="A18" s="113"/>
      <c r="B18" s="79" t="s">
        <v>66</v>
      </c>
      <c r="C18" s="82"/>
      <c r="D18" s="80">
        <f>SUM(D16:D17)</f>
        <v>2</v>
      </c>
      <c r="E18" s="82"/>
      <c r="F18" s="81">
        <f>SUM(F16:F17)</f>
        <v>1</v>
      </c>
    </row>
    <row r="19" spans="1:9" ht="17.25" thickTop="1" thickBot="1" x14ac:dyDescent="0.3"/>
    <row r="20" spans="1:9" ht="16.5" thickTop="1" x14ac:dyDescent="0.25">
      <c r="A20" s="1" t="s">
        <v>36</v>
      </c>
      <c r="B20" s="73" t="s">
        <v>328</v>
      </c>
      <c r="C20" s="2"/>
      <c r="D20" s="2"/>
      <c r="E20" s="2"/>
      <c r="F20" s="74"/>
    </row>
    <row r="21" spans="1:9" ht="31.5" x14ac:dyDescent="0.25">
      <c r="A21" s="112"/>
      <c r="B21" s="38" t="s">
        <v>49</v>
      </c>
      <c r="C21" s="25" t="s">
        <v>38</v>
      </c>
      <c r="D21" s="87" t="s">
        <v>40</v>
      </c>
      <c r="E21" s="25" t="s">
        <v>51</v>
      </c>
      <c r="F21" s="76" t="s">
        <v>52</v>
      </c>
    </row>
    <row r="22" spans="1:9" x14ac:dyDescent="0.25">
      <c r="A22" s="75">
        <v>1</v>
      </c>
      <c r="B22" s="101" t="s">
        <v>325</v>
      </c>
      <c r="C22" s="25">
        <f>IF(D3&gt;500,0,D3/125)</f>
        <v>3.56</v>
      </c>
      <c r="D22" s="88">
        <f>ROUNDUP(C22,0)</f>
        <v>4</v>
      </c>
      <c r="E22" s="25">
        <f>IF(D3&gt;500,0,D3/250)</f>
        <v>1.78</v>
      </c>
      <c r="F22" s="77">
        <f>ROUNDUP(E22,0)</f>
        <v>2</v>
      </c>
    </row>
    <row r="23" spans="1:9" x14ac:dyDescent="0.25">
      <c r="A23" s="75">
        <v>2</v>
      </c>
      <c r="B23" s="101" t="s">
        <v>326</v>
      </c>
      <c r="C23" s="25">
        <f>IF(D3&gt;500,4+(D3-500)/250,0)</f>
        <v>0</v>
      </c>
      <c r="D23" s="88">
        <f>ROUNDUP(C23,0)</f>
        <v>0</v>
      </c>
      <c r="E23" s="25">
        <f>IF(D3&gt;500,D3/250,0)</f>
        <v>0</v>
      </c>
      <c r="F23" s="77">
        <f>ROUNDUP(E23,0)</f>
        <v>0</v>
      </c>
    </row>
    <row r="24" spans="1:9" ht="16.5" thickBot="1" x14ac:dyDescent="0.3">
      <c r="A24" s="113"/>
      <c r="B24" s="79" t="s">
        <v>66</v>
      </c>
      <c r="C24" s="82"/>
      <c r="D24" s="80">
        <f>SUM(D22:D23)</f>
        <v>4</v>
      </c>
      <c r="E24" s="82"/>
      <c r="F24" s="81">
        <f>SUM(F22:F23)</f>
        <v>2</v>
      </c>
    </row>
    <row r="25" spans="1:9" ht="16.5" thickTop="1" x14ac:dyDescent="0.25"/>
    <row r="28" spans="1:9" x14ac:dyDescent="0.25">
      <c r="A28" s="69"/>
      <c r="B28" s="68" t="s">
        <v>296</v>
      </c>
      <c r="C28" s="69"/>
      <c r="D28" s="69"/>
      <c r="E28" s="69"/>
      <c r="F28" s="69"/>
      <c r="G28" s="69"/>
      <c r="H28" s="69"/>
      <c r="I28" s="69"/>
    </row>
    <row r="29" spans="1:9" x14ac:dyDescent="0.25">
      <c r="A29" s="69"/>
      <c r="B29" s="68" t="s">
        <v>297</v>
      </c>
      <c r="C29" s="69"/>
      <c r="D29" s="69"/>
      <c r="E29" s="69"/>
      <c r="F29" s="69"/>
      <c r="G29" s="69"/>
      <c r="H29" s="69"/>
      <c r="I29" s="69"/>
    </row>
    <row r="30" spans="1:9" x14ac:dyDescent="0.25">
      <c r="A30" s="69"/>
      <c r="B30" s="110" t="s">
        <v>302</v>
      </c>
      <c r="C30" s="110" t="s">
        <v>303</v>
      </c>
      <c r="D30" s="69"/>
      <c r="E30" s="69"/>
      <c r="F30" s="69"/>
      <c r="G30" s="69"/>
      <c r="H30" s="69"/>
      <c r="I30" s="69"/>
    </row>
    <row r="31" spans="1:9" ht="63" x14ac:dyDescent="0.25">
      <c r="A31" s="69"/>
      <c r="B31" s="85" t="s">
        <v>304</v>
      </c>
      <c r="C31" s="85" t="s">
        <v>242</v>
      </c>
      <c r="D31" s="69"/>
      <c r="E31" s="69"/>
      <c r="F31" s="69"/>
      <c r="G31" s="69"/>
      <c r="H31" s="69"/>
      <c r="I31" s="69"/>
    </row>
    <row r="32" spans="1:9" ht="47.25" x14ac:dyDescent="0.25">
      <c r="A32" s="71">
        <v>1</v>
      </c>
      <c r="B32" s="86" t="s">
        <v>329</v>
      </c>
      <c r="C32" s="85" t="s">
        <v>306</v>
      </c>
      <c r="D32" s="69"/>
      <c r="E32" s="69"/>
      <c r="F32" s="69"/>
      <c r="G32" s="69"/>
      <c r="H32" s="69"/>
      <c r="I32" s="69"/>
    </row>
    <row r="33" spans="1:9" x14ac:dyDescent="0.25">
      <c r="A33" s="71">
        <v>2</v>
      </c>
      <c r="B33" s="86" t="s">
        <v>305</v>
      </c>
      <c r="C33" s="85">
        <v>3</v>
      </c>
      <c r="D33" s="69"/>
      <c r="E33" s="69"/>
      <c r="F33" s="69"/>
      <c r="G33" s="69"/>
      <c r="H33" s="69"/>
      <c r="I33" s="69"/>
    </row>
    <row r="34" spans="1:9" ht="63" x14ac:dyDescent="0.25">
      <c r="A34" s="71">
        <v>3</v>
      </c>
      <c r="B34" s="86" t="s">
        <v>331</v>
      </c>
      <c r="C34" s="85" t="s">
        <v>299</v>
      </c>
      <c r="D34" s="69"/>
      <c r="E34" s="69"/>
      <c r="F34" s="69"/>
      <c r="G34" s="69"/>
      <c r="H34" s="69"/>
      <c r="I34" s="69"/>
    </row>
    <row r="35" spans="1:9" ht="63" x14ac:dyDescent="0.25">
      <c r="A35" s="71">
        <v>4</v>
      </c>
      <c r="B35" s="86" t="s">
        <v>333</v>
      </c>
      <c r="C35" s="85" t="s">
        <v>301</v>
      </c>
      <c r="D35" s="69"/>
      <c r="E35" s="69"/>
      <c r="F35" s="69"/>
      <c r="G35" s="69"/>
      <c r="H35" s="69"/>
      <c r="I35" s="69"/>
    </row>
    <row r="37" spans="1:9" ht="16.5" thickBot="1" x14ac:dyDescent="0.3"/>
    <row r="38" spans="1:9" ht="16.5" thickTop="1" x14ac:dyDescent="0.25">
      <c r="A38" s="1" t="s">
        <v>36</v>
      </c>
      <c r="B38" s="73" t="s">
        <v>323</v>
      </c>
      <c r="C38" s="2"/>
      <c r="D38" s="74"/>
    </row>
    <row r="39" spans="1:9" ht="31.5" x14ac:dyDescent="0.25">
      <c r="A39" s="112"/>
      <c r="B39" s="38" t="s">
        <v>53</v>
      </c>
      <c r="C39" s="25" t="s">
        <v>39</v>
      </c>
      <c r="D39" s="76" t="s">
        <v>41</v>
      </c>
    </row>
    <row r="40" spans="1:9" x14ac:dyDescent="0.25">
      <c r="A40" s="75">
        <v>1</v>
      </c>
      <c r="B40" s="101" t="s">
        <v>298</v>
      </c>
      <c r="C40" s="25">
        <f>IF(E2&gt;50,0,E2/25)</f>
        <v>0</v>
      </c>
      <c r="D40" s="77">
        <f>ROUNDUP(C40,0)</f>
        <v>0</v>
      </c>
    </row>
    <row r="41" spans="1:9" x14ac:dyDescent="0.25">
      <c r="A41" s="75">
        <v>2</v>
      </c>
      <c r="B41" s="101" t="s">
        <v>330</v>
      </c>
      <c r="C41" s="25">
        <f>IF(AND(E2&gt;50,E2&lt;126),C33,0)</f>
        <v>0</v>
      </c>
      <c r="D41" s="77">
        <f>ROUNDUP(C41,0)</f>
        <v>0</v>
      </c>
    </row>
    <row r="42" spans="1:9" x14ac:dyDescent="0.25">
      <c r="A42" s="75">
        <v>3</v>
      </c>
      <c r="B42" s="101" t="s">
        <v>332</v>
      </c>
      <c r="C42" s="25">
        <f>IF(AND(E2&gt;125,E2&lt;1801),3+(E2-125)/80,0)</f>
        <v>3.95</v>
      </c>
      <c r="D42" s="77">
        <f>ROUNDUP(C42,0)</f>
        <v>4</v>
      </c>
    </row>
    <row r="43" spans="1:9" x14ac:dyDescent="0.25">
      <c r="A43" s="75">
        <v>4</v>
      </c>
      <c r="B43" s="101" t="s">
        <v>300</v>
      </c>
      <c r="C43" s="25">
        <f>IF(E2&gt;1800,24+(E2-1800)/90,0)</f>
        <v>0</v>
      </c>
      <c r="D43" s="77">
        <f>ROUNDUP(C43,0)</f>
        <v>0</v>
      </c>
    </row>
    <row r="44" spans="1:9" ht="16.5" thickBot="1" x14ac:dyDescent="0.3">
      <c r="A44" s="113"/>
      <c r="B44" s="79" t="s">
        <v>66</v>
      </c>
      <c r="C44" s="82"/>
      <c r="D44" s="81">
        <f>SUM(D40:D43)</f>
        <v>4</v>
      </c>
    </row>
    <row r="45" spans="1:9" ht="17.25" thickTop="1" thickBot="1" x14ac:dyDescent="0.3"/>
    <row r="46" spans="1:9" ht="16.5" thickTop="1" x14ac:dyDescent="0.25">
      <c r="A46" s="1" t="s">
        <v>36</v>
      </c>
      <c r="B46" s="73" t="s">
        <v>328</v>
      </c>
      <c r="C46" s="2"/>
      <c r="D46" s="74"/>
    </row>
    <row r="47" spans="1:9" ht="31.5" x14ac:dyDescent="0.25">
      <c r="A47" s="112"/>
      <c r="B47" s="38" t="s">
        <v>53</v>
      </c>
      <c r="C47" s="25" t="s">
        <v>39</v>
      </c>
      <c r="D47" s="76" t="s">
        <v>41</v>
      </c>
    </row>
    <row r="48" spans="1:9" x14ac:dyDescent="0.25">
      <c r="A48" s="75">
        <v>1</v>
      </c>
      <c r="B48" s="101" t="s">
        <v>298</v>
      </c>
      <c r="C48" s="25">
        <f>IF(E3&gt;50,0,E3/25)</f>
        <v>0</v>
      </c>
      <c r="D48" s="77">
        <f>ROUNDUP(C48,0)</f>
        <v>0</v>
      </c>
    </row>
    <row r="49" spans="1:9" x14ac:dyDescent="0.25">
      <c r="A49" s="75">
        <v>2</v>
      </c>
      <c r="B49" s="101" t="s">
        <v>330</v>
      </c>
      <c r="C49" s="25">
        <f>IF(AND(E3&gt;50,E3&lt;126),C33,0)</f>
        <v>0</v>
      </c>
      <c r="D49" s="77">
        <f>ROUNDUP(C49,0)</f>
        <v>0</v>
      </c>
    </row>
    <row r="50" spans="1:9" x14ac:dyDescent="0.25">
      <c r="A50" s="75">
        <v>3</v>
      </c>
      <c r="B50" s="101" t="s">
        <v>332</v>
      </c>
      <c r="C50" s="25">
        <f>IF(AND(E3&gt;125,E3&lt;1801),3+(E3-125)/80,0)</f>
        <v>9.7874999999999996</v>
      </c>
      <c r="D50" s="77">
        <f>ROUNDUP(C50,0)</f>
        <v>10</v>
      </c>
    </row>
    <row r="51" spans="1:9" x14ac:dyDescent="0.25">
      <c r="A51" s="75">
        <v>4</v>
      </c>
      <c r="B51" s="101" t="s">
        <v>300</v>
      </c>
      <c r="C51" s="25">
        <f>IF(E3&gt;1800,24+(E3-1800)/90,0)</f>
        <v>0</v>
      </c>
      <c r="D51" s="77">
        <f>ROUNDUP(C51,0)</f>
        <v>0</v>
      </c>
    </row>
    <row r="52" spans="1:9" ht="16.5" thickBot="1" x14ac:dyDescent="0.3">
      <c r="A52" s="113"/>
      <c r="B52" s="79" t="s">
        <v>66</v>
      </c>
      <c r="C52" s="82"/>
      <c r="D52" s="81">
        <f>SUM(D48:D51)</f>
        <v>10</v>
      </c>
    </row>
    <row r="53" spans="1:9" ht="16.5" thickTop="1" x14ac:dyDescent="0.25"/>
    <row r="56" spans="1:9" x14ac:dyDescent="0.25">
      <c r="A56" s="69"/>
      <c r="B56" s="68" t="s">
        <v>307</v>
      </c>
      <c r="C56" s="69"/>
      <c r="D56" s="69"/>
      <c r="E56" s="69"/>
      <c r="F56" s="69"/>
      <c r="G56" s="69"/>
      <c r="H56" s="69"/>
      <c r="I56" s="69"/>
    </row>
    <row r="57" spans="1:9" x14ac:dyDescent="0.25">
      <c r="A57" s="69"/>
      <c r="B57" s="68" t="s">
        <v>308</v>
      </c>
      <c r="C57" s="69"/>
      <c r="D57" s="69"/>
      <c r="E57" s="69"/>
      <c r="F57" s="69"/>
      <c r="G57" s="69"/>
      <c r="H57" s="69"/>
      <c r="I57" s="69"/>
    </row>
    <row r="58" spans="1:9" x14ac:dyDescent="0.25">
      <c r="A58" s="69"/>
      <c r="B58" s="69"/>
      <c r="C58" s="69"/>
      <c r="D58" s="69"/>
      <c r="E58" s="69"/>
      <c r="F58" s="69"/>
      <c r="G58" s="69"/>
      <c r="H58" s="69"/>
      <c r="I58" s="69"/>
    </row>
    <row r="59" spans="1:9" x14ac:dyDescent="0.25">
      <c r="A59" s="84" t="s">
        <v>312</v>
      </c>
      <c r="B59" s="68" t="s">
        <v>309</v>
      </c>
      <c r="C59" s="69"/>
      <c r="D59" s="69"/>
      <c r="E59" s="69"/>
      <c r="F59" s="69"/>
      <c r="G59" s="69"/>
      <c r="H59" s="69"/>
      <c r="I59" s="69"/>
    </row>
    <row r="60" spans="1:9" x14ac:dyDescent="0.25">
      <c r="A60" s="69"/>
      <c r="B60" s="110" t="s">
        <v>194</v>
      </c>
      <c r="C60" s="110" t="s">
        <v>195</v>
      </c>
      <c r="D60" s="69"/>
      <c r="E60" s="69"/>
      <c r="F60" s="69"/>
      <c r="G60" s="69"/>
      <c r="H60" s="69"/>
      <c r="I60" s="69"/>
    </row>
    <row r="61" spans="1:9" ht="63" x14ac:dyDescent="0.25">
      <c r="A61" s="69"/>
      <c r="B61" s="85" t="s">
        <v>314</v>
      </c>
      <c r="C61" s="85" t="s">
        <v>259</v>
      </c>
      <c r="D61" s="69"/>
      <c r="E61" s="69"/>
      <c r="F61" s="69"/>
      <c r="G61" s="69"/>
      <c r="H61" s="69"/>
      <c r="I61" s="69"/>
    </row>
    <row r="62" spans="1:9" ht="47.25" x14ac:dyDescent="0.25">
      <c r="A62" s="71">
        <v>1</v>
      </c>
      <c r="B62" s="86" t="s">
        <v>317</v>
      </c>
      <c r="C62" s="85" t="s">
        <v>319</v>
      </c>
      <c r="D62" s="69"/>
      <c r="E62" s="69"/>
      <c r="F62" s="69"/>
      <c r="G62" s="69"/>
      <c r="H62" s="69"/>
      <c r="I62" s="69"/>
    </row>
    <row r="63" spans="1:9" ht="63" x14ac:dyDescent="0.25">
      <c r="A63" s="71">
        <v>2</v>
      </c>
      <c r="B63" s="86" t="s">
        <v>318</v>
      </c>
      <c r="C63" s="85" t="s">
        <v>320</v>
      </c>
      <c r="D63" s="69"/>
      <c r="E63" s="69"/>
      <c r="F63" s="69"/>
      <c r="G63" s="69"/>
      <c r="H63" s="69"/>
      <c r="I63" s="69"/>
    </row>
    <row r="64" spans="1:9" x14ac:dyDescent="0.25">
      <c r="A64" s="69"/>
      <c r="B64" s="69"/>
      <c r="C64" s="69"/>
      <c r="D64" s="69"/>
      <c r="E64" s="69"/>
      <c r="F64" s="69"/>
      <c r="G64" s="69"/>
      <c r="H64" s="69"/>
      <c r="I64" s="69"/>
    </row>
    <row r="65" spans="1:9" x14ac:dyDescent="0.25">
      <c r="A65" s="84" t="s">
        <v>313</v>
      </c>
      <c r="B65" s="68" t="s">
        <v>310</v>
      </c>
      <c r="C65" s="69"/>
      <c r="D65" s="69"/>
      <c r="E65" s="69"/>
      <c r="F65" s="69"/>
      <c r="G65" s="69"/>
      <c r="H65" s="69"/>
      <c r="I65" s="69"/>
    </row>
    <row r="66" spans="1:9" x14ac:dyDescent="0.25">
      <c r="A66" s="69"/>
      <c r="B66" s="110" t="s">
        <v>290</v>
      </c>
      <c r="C66" s="110" t="s">
        <v>291</v>
      </c>
      <c r="D66" s="69"/>
      <c r="E66" s="69"/>
      <c r="F66" s="69"/>
      <c r="G66" s="69"/>
      <c r="H66" s="69"/>
      <c r="I66" s="69"/>
    </row>
    <row r="67" spans="1:9" ht="63" x14ac:dyDescent="0.25">
      <c r="A67" s="69"/>
      <c r="B67" s="85" t="s">
        <v>315</v>
      </c>
      <c r="C67" s="85" t="s">
        <v>316</v>
      </c>
      <c r="D67" s="69"/>
      <c r="E67" s="69"/>
      <c r="F67" s="69"/>
      <c r="G67" s="69"/>
      <c r="H67" s="69"/>
      <c r="I67" s="69"/>
    </row>
    <row r="68" spans="1:9" ht="47.25" x14ac:dyDescent="0.25">
      <c r="A68" s="71">
        <v>1</v>
      </c>
      <c r="B68" s="86" t="s">
        <v>325</v>
      </c>
      <c r="C68" s="85" t="s">
        <v>321</v>
      </c>
      <c r="D68" s="69"/>
      <c r="E68" s="69"/>
      <c r="F68" s="69"/>
      <c r="G68" s="69"/>
      <c r="H68" s="69"/>
      <c r="I68" s="69"/>
    </row>
    <row r="69" spans="1:9" ht="63" x14ac:dyDescent="0.25">
      <c r="A69" s="71">
        <v>2</v>
      </c>
      <c r="B69" s="86" t="s">
        <v>327</v>
      </c>
      <c r="C69" s="85" t="s">
        <v>322</v>
      </c>
      <c r="D69" s="69"/>
      <c r="E69" s="69"/>
      <c r="F69" s="69"/>
      <c r="G69" s="69"/>
      <c r="H69" s="69"/>
      <c r="I69" s="69"/>
    </row>
    <row r="70" spans="1:9" ht="16.5" thickBot="1" x14ac:dyDescent="0.3"/>
    <row r="71" spans="1:9" ht="16.5" thickTop="1" x14ac:dyDescent="0.25">
      <c r="A71" s="1" t="s">
        <v>36</v>
      </c>
      <c r="B71" s="73" t="s">
        <v>323</v>
      </c>
      <c r="C71" s="2"/>
      <c r="D71" s="2"/>
      <c r="E71" s="2"/>
      <c r="F71" s="74"/>
    </row>
    <row r="72" spans="1:9" ht="31.5" x14ac:dyDescent="0.25">
      <c r="A72" s="75"/>
      <c r="B72" s="38" t="s">
        <v>50</v>
      </c>
      <c r="C72" s="25" t="s">
        <v>134</v>
      </c>
      <c r="D72" s="87" t="s">
        <v>135</v>
      </c>
      <c r="E72" s="25" t="s">
        <v>136</v>
      </c>
      <c r="F72" s="76" t="s">
        <v>137</v>
      </c>
    </row>
    <row r="73" spans="1:9" x14ac:dyDescent="0.25">
      <c r="A73" s="75">
        <v>1</v>
      </c>
      <c r="B73" s="101" t="s">
        <v>325</v>
      </c>
      <c r="C73" s="25">
        <f>IF(D2&gt;500,0,D2/125)</f>
        <v>1.0720000000000001</v>
      </c>
      <c r="D73" s="88">
        <f>ROUNDUP(C73,0)</f>
        <v>2</v>
      </c>
      <c r="E73" s="25">
        <f>IF(E2&gt;500,0,E2/125)</f>
        <v>1.6080000000000001</v>
      </c>
      <c r="F73" s="77">
        <f>ROUNDUP(E73,0)</f>
        <v>2</v>
      </c>
    </row>
    <row r="74" spans="1:9" x14ac:dyDescent="0.25">
      <c r="A74" s="75">
        <v>2</v>
      </c>
      <c r="B74" s="101" t="s">
        <v>326</v>
      </c>
      <c r="C74" s="25">
        <f>IF(D2&gt;500,4+(D2-500)/250,0)</f>
        <v>0</v>
      </c>
      <c r="D74" s="88">
        <f>ROUNDUP(C74,0)</f>
        <v>0</v>
      </c>
      <c r="E74" s="25">
        <f>IF(E2&gt;500,4+(E2-500)/250,0)</f>
        <v>0</v>
      </c>
      <c r="F74" s="77">
        <f>ROUNDUP(E74,0)</f>
        <v>0</v>
      </c>
    </row>
    <row r="75" spans="1:9" ht="16.5" thickBot="1" x14ac:dyDescent="0.3">
      <c r="A75" s="113"/>
      <c r="B75" s="79" t="s">
        <v>66</v>
      </c>
      <c r="C75" s="91"/>
      <c r="D75" s="80">
        <f>SUM(D73:D74)</f>
        <v>2</v>
      </c>
      <c r="E75" s="80"/>
      <c r="F75" s="81">
        <f>SUM(F73:F74)</f>
        <v>2</v>
      </c>
    </row>
    <row r="76" spans="1:9" ht="17.25" thickTop="1" thickBot="1" x14ac:dyDescent="0.3"/>
    <row r="77" spans="1:9" ht="16.5" thickTop="1" x14ac:dyDescent="0.25">
      <c r="A77" s="1" t="s">
        <v>36</v>
      </c>
      <c r="B77" s="73" t="s">
        <v>328</v>
      </c>
      <c r="C77" s="2"/>
      <c r="D77" s="2"/>
      <c r="E77" s="2"/>
      <c r="F77" s="74"/>
    </row>
    <row r="78" spans="1:9" ht="31.5" x14ac:dyDescent="0.25">
      <c r="A78" s="75"/>
      <c r="B78" s="38" t="s">
        <v>50</v>
      </c>
      <c r="C78" s="25" t="s">
        <v>134</v>
      </c>
      <c r="D78" s="87" t="s">
        <v>135</v>
      </c>
      <c r="E78" s="25" t="s">
        <v>136</v>
      </c>
      <c r="F78" s="76" t="s">
        <v>137</v>
      </c>
    </row>
    <row r="79" spans="1:9" x14ac:dyDescent="0.25">
      <c r="A79" s="75">
        <v>1</v>
      </c>
      <c r="B79" s="101" t="s">
        <v>325</v>
      </c>
      <c r="C79" s="25">
        <f>IF(D3&gt;500,0,D3/125)</f>
        <v>3.56</v>
      </c>
      <c r="D79" s="88">
        <f>ROUNDUP(C79,0)</f>
        <v>4</v>
      </c>
      <c r="E79" s="25">
        <f>IF(E3&gt;500,0,E3/125)</f>
        <v>0</v>
      </c>
      <c r="F79" s="77">
        <f>ROUNDUP(E79,0)</f>
        <v>0</v>
      </c>
    </row>
    <row r="80" spans="1:9" x14ac:dyDescent="0.25">
      <c r="A80" s="75">
        <v>2</v>
      </c>
      <c r="B80" s="101" t="s">
        <v>326</v>
      </c>
      <c r="C80" s="25">
        <f>IF(D3&gt;500,4+(D3-500)/250,0)</f>
        <v>0</v>
      </c>
      <c r="D80" s="88">
        <f>ROUNDUP(C80,0)</f>
        <v>0</v>
      </c>
      <c r="E80" s="25">
        <f>IF(E3&gt;500,4+(E3-500)/250,0)</f>
        <v>4.6719999999999997</v>
      </c>
      <c r="F80" s="77">
        <f>ROUNDUP(E80,0)</f>
        <v>5</v>
      </c>
    </row>
    <row r="81" spans="1:6" ht="16.5" thickBot="1" x14ac:dyDescent="0.3">
      <c r="A81" s="113"/>
      <c r="B81" s="79" t="s">
        <v>66</v>
      </c>
      <c r="C81" s="91"/>
      <c r="D81" s="80">
        <f>SUM(D79:D80)</f>
        <v>4</v>
      </c>
      <c r="E81" s="80"/>
      <c r="F81" s="81">
        <f>SUM(F79:F80)</f>
        <v>5</v>
      </c>
    </row>
    <row r="82" spans="1:6" ht="16.5" thickTop="1" x14ac:dyDescent="0.25"/>
  </sheetData>
  <sheetProtection algorithmName="SHA-512" hashValue="JVLaBszfa/uzPV2nMCy/ZvUhWWybvRfHK/BXhp+zRy3LmE0/tILiAk8ZnXorVdpZVFydahX3BxvoCMhhIX2NfQ==" saltValue="3OcJvjLkCiWNBgiOxBKejA==" spinCount="100000" sheet="1" objects="1" scenarios="1"/>
  <phoneticPr fontId="1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  <rowBreaks count="2" manualBreakCount="2">
    <brk id="36" max="6" man="1"/>
    <brk id="69" max="6" man="1"/>
  </rowBreaks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view="pageBreakPreview" zoomScaleNormal="100" zoomScaleSheetLayoutView="100" workbookViewId="0">
      <pane ySplit="2" topLeftCell="A3" activePane="bottomLeft" state="frozen"/>
      <selection pane="bottomLeft" activeCell="F2" sqref="F2"/>
    </sheetView>
  </sheetViews>
  <sheetFormatPr defaultRowHeight="15.75" x14ac:dyDescent="0.25"/>
  <cols>
    <col min="1" max="1" width="9" style="3"/>
    <col min="2" max="3" width="21.875" style="3" customWidth="1"/>
    <col min="4" max="4" width="14.125" style="3" customWidth="1"/>
    <col min="5" max="5" width="16.125" style="3" customWidth="1"/>
    <col min="6" max="6" width="10.25" style="3" customWidth="1"/>
    <col min="7" max="16384" width="9" style="3"/>
  </cols>
  <sheetData>
    <row r="1" spans="1:8" x14ac:dyDescent="0.25">
      <c r="B1" s="61" t="s">
        <v>3</v>
      </c>
      <c r="C1" s="62" t="s">
        <v>0</v>
      </c>
      <c r="D1" s="62" t="s">
        <v>1</v>
      </c>
      <c r="E1" s="63" t="s">
        <v>2</v>
      </c>
    </row>
    <row r="2" spans="1:8" x14ac:dyDescent="0.25">
      <c r="B2" s="64" t="s">
        <v>335</v>
      </c>
      <c r="C2" s="65">
        <f>Calculator!I45</f>
        <v>14000</v>
      </c>
      <c r="D2" s="65">
        <f>Calculator!K45</f>
        <v>5600</v>
      </c>
      <c r="E2" s="66">
        <f>Calculator!M45</f>
        <v>8400</v>
      </c>
    </row>
    <row r="5" spans="1:8" x14ac:dyDescent="0.25">
      <c r="A5" s="69"/>
      <c r="B5" s="68" t="s">
        <v>336</v>
      </c>
      <c r="C5" s="69"/>
      <c r="D5" s="69"/>
      <c r="E5" s="69"/>
      <c r="F5" s="69"/>
      <c r="G5" s="69"/>
      <c r="H5" s="69"/>
    </row>
    <row r="6" spans="1:8" x14ac:dyDescent="0.25">
      <c r="A6" s="69"/>
      <c r="B6" s="68" t="s">
        <v>337</v>
      </c>
      <c r="C6" s="69"/>
      <c r="D6" s="69"/>
      <c r="E6" s="69"/>
      <c r="F6" s="69"/>
      <c r="G6" s="69"/>
      <c r="H6" s="69"/>
    </row>
    <row r="7" spans="1:8" x14ac:dyDescent="0.25">
      <c r="A7" s="69"/>
      <c r="B7" s="110" t="s">
        <v>194</v>
      </c>
      <c r="C7" s="110" t="s">
        <v>195</v>
      </c>
      <c r="D7" s="69"/>
      <c r="E7" s="69"/>
      <c r="F7" s="69"/>
      <c r="G7" s="69"/>
      <c r="H7" s="69"/>
    </row>
    <row r="8" spans="1:8" ht="31.5" x14ac:dyDescent="0.25">
      <c r="A8" s="69"/>
      <c r="B8" s="85" t="s">
        <v>242</v>
      </c>
      <c r="C8" s="85" t="s">
        <v>245</v>
      </c>
      <c r="D8" s="69"/>
      <c r="E8" s="69"/>
      <c r="F8" s="69"/>
      <c r="G8" s="69"/>
      <c r="H8" s="69"/>
    </row>
    <row r="9" spans="1:8" ht="47.25" x14ac:dyDescent="0.25">
      <c r="A9" s="71">
        <v>1</v>
      </c>
      <c r="B9" s="85" t="s">
        <v>338</v>
      </c>
      <c r="C9" s="85" t="s">
        <v>338</v>
      </c>
      <c r="D9" s="69"/>
      <c r="E9" s="69"/>
      <c r="F9" s="69"/>
      <c r="G9" s="69"/>
      <c r="H9" s="69"/>
    </row>
    <row r="11" spans="1:8" ht="16.5" thickBot="1" x14ac:dyDescent="0.3"/>
    <row r="12" spans="1:8" ht="16.5" thickTop="1" x14ac:dyDescent="0.25">
      <c r="A12" s="1" t="s">
        <v>36</v>
      </c>
      <c r="B12" s="73" t="s">
        <v>350</v>
      </c>
      <c r="C12" s="2"/>
      <c r="D12" s="2"/>
      <c r="E12" s="2"/>
      <c r="F12" s="74"/>
    </row>
    <row r="13" spans="1:8" ht="31.5" x14ac:dyDescent="0.25">
      <c r="A13" s="112"/>
      <c r="B13" s="38"/>
      <c r="C13" s="25" t="s">
        <v>38</v>
      </c>
      <c r="D13" s="87" t="s">
        <v>40</v>
      </c>
      <c r="E13" s="25" t="s">
        <v>51</v>
      </c>
      <c r="F13" s="76" t="s">
        <v>52</v>
      </c>
    </row>
    <row r="14" spans="1:8" x14ac:dyDescent="0.25">
      <c r="A14" s="75"/>
      <c r="B14" s="101"/>
      <c r="C14" s="25">
        <f>D2/100</f>
        <v>56</v>
      </c>
      <c r="D14" s="88">
        <f>ROUNDUP(C14,0)</f>
        <v>56</v>
      </c>
      <c r="E14" s="25">
        <f>D2/100</f>
        <v>56</v>
      </c>
      <c r="F14" s="77">
        <f>ROUNDUP(E14,0)</f>
        <v>56</v>
      </c>
    </row>
    <row r="15" spans="1:8" ht="16.5" thickBot="1" x14ac:dyDescent="0.3">
      <c r="A15" s="113"/>
      <c r="B15" s="79" t="s">
        <v>66</v>
      </c>
      <c r="C15" s="82"/>
      <c r="D15" s="80">
        <f>SUM(D14)</f>
        <v>56</v>
      </c>
      <c r="E15" s="82"/>
      <c r="F15" s="81">
        <f>SUM(F14)</f>
        <v>56</v>
      </c>
    </row>
    <row r="16" spans="1:8" ht="16.5" thickTop="1" x14ac:dyDescent="0.25"/>
    <row r="19" spans="1:7" x14ac:dyDescent="0.25">
      <c r="A19" s="69"/>
      <c r="B19" s="68" t="s">
        <v>339</v>
      </c>
      <c r="C19" s="69"/>
      <c r="D19" s="69"/>
      <c r="E19" s="69"/>
      <c r="F19" s="69"/>
      <c r="G19" s="69"/>
    </row>
    <row r="20" spans="1:7" x14ac:dyDescent="0.25">
      <c r="A20" s="69"/>
      <c r="B20" s="68" t="s">
        <v>340</v>
      </c>
      <c r="C20" s="69"/>
      <c r="D20" s="69"/>
      <c r="E20" s="69"/>
      <c r="F20" s="69"/>
      <c r="G20" s="69"/>
    </row>
    <row r="21" spans="1:7" x14ac:dyDescent="0.25">
      <c r="A21" s="71">
        <v>1</v>
      </c>
      <c r="B21" s="69" t="s">
        <v>229</v>
      </c>
      <c r="C21" s="69"/>
      <c r="D21" s="69"/>
      <c r="E21" s="69"/>
      <c r="F21" s="69"/>
      <c r="G21" s="69"/>
    </row>
    <row r="23" spans="1:7" ht="16.5" thickBot="1" x14ac:dyDescent="0.3"/>
    <row r="24" spans="1:7" ht="16.5" thickTop="1" x14ac:dyDescent="0.25">
      <c r="A24" s="1" t="s">
        <v>36</v>
      </c>
      <c r="B24" s="73" t="s">
        <v>350</v>
      </c>
      <c r="C24" s="2"/>
      <c r="D24" s="74"/>
    </row>
    <row r="25" spans="1:7" ht="31.5" x14ac:dyDescent="0.25">
      <c r="A25" s="112"/>
      <c r="B25" s="38"/>
      <c r="C25" s="25" t="s">
        <v>39</v>
      </c>
      <c r="D25" s="76" t="s">
        <v>41</v>
      </c>
    </row>
    <row r="26" spans="1:7" x14ac:dyDescent="0.25">
      <c r="A26" s="75"/>
      <c r="B26" s="101"/>
      <c r="C26" s="25">
        <f>E2/50</f>
        <v>168</v>
      </c>
      <c r="D26" s="77">
        <f>ROUNDUP(C26,0)</f>
        <v>168</v>
      </c>
    </row>
    <row r="27" spans="1:7" ht="16.5" thickBot="1" x14ac:dyDescent="0.3">
      <c r="A27" s="113"/>
      <c r="B27" s="79" t="s">
        <v>66</v>
      </c>
      <c r="C27" s="82"/>
      <c r="D27" s="81">
        <f>SUM(D26)</f>
        <v>168</v>
      </c>
    </row>
    <row r="28" spans="1:7" ht="16.5" thickTop="1" x14ac:dyDescent="0.25"/>
    <row r="31" spans="1:7" x14ac:dyDescent="0.25">
      <c r="A31" s="69"/>
      <c r="B31" s="68" t="s">
        <v>341</v>
      </c>
      <c r="C31" s="69"/>
      <c r="D31" s="69"/>
      <c r="E31" s="69"/>
    </row>
    <row r="32" spans="1:7" x14ac:dyDescent="0.25">
      <c r="A32" s="69"/>
      <c r="B32" s="68" t="s">
        <v>342</v>
      </c>
      <c r="C32" s="69"/>
      <c r="D32" s="69"/>
      <c r="E32" s="69"/>
    </row>
    <row r="33" spans="1:6" x14ac:dyDescent="0.25">
      <c r="A33" s="69"/>
      <c r="B33" s="110" t="s">
        <v>181</v>
      </c>
      <c r="C33" s="110" t="s">
        <v>343</v>
      </c>
      <c r="D33" s="69"/>
      <c r="E33" s="69"/>
    </row>
    <row r="34" spans="1:6" ht="31.5" x14ac:dyDescent="0.25">
      <c r="A34" s="69"/>
      <c r="B34" s="85" t="s">
        <v>344</v>
      </c>
      <c r="C34" s="85" t="s">
        <v>345</v>
      </c>
      <c r="D34" s="69"/>
      <c r="E34" s="69"/>
    </row>
    <row r="35" spans="1:6" ht="47.25" x14ac:dyDescent="0.25">
      <c r="A35" s="71">
        <v>1</v>
      </c>
      <c r="B35" s="86" t="s">
        <v>348</v>
      </c>
      <c r="C35" s="85" t="s">
        <v>346</v>
      </c>
      <c r="D35" s="69"/>
      <c r="E35" s="69"/>
    </row>
    <row r="36" spans="1:6" ht="47.25" x14ac:dyDescent="0.25">
      <c r="A36" s="71">
        <v>2</v>
      </c>
      <c r="B36" s="86" t="s">
        <v>349</v>
      </c>
      <c r="C36" s="85" t="s">
        <v>347</v>
      </c>
      <c r="D36" s="69"/>
      <c r="E36" s="69"/>
    </row>
    <row r="38" spans="1:6" ht="16.5" thickBot="1" x14ac:dyDescent="0.3"/>
    <row r="39" spans="1:6" ht="16.5" thickTop="1" x14ac:dyDescent="0.25">
      <c r="A39" s="1" t="s">
        <v>36</v>
      </c>
      <c r="B39" s="73" t="s">
        <v>350</v>
      </c>
      <c r="C39" s="2"/>
      <c r="D39" s="2"/>
      <c r="E39" s="2"/>
      <c r="F39" s="74"/>
    </row>
    <row r="40" spans="1:6" ht="31.5" x14ac:dyDescent="0.25">
      <c r="A40" s="75"/>
      <c r="B40" s="38"/>
      <c r="C40" s="25" t="s">
        <v>134</v>
      </c>
      <c r="D40" s="87" t="s">
        <v>135</v>
      </c>
      <c r="E40" s="25" t="s">
        <v>136</v>
      </c>
      <c r="F40" s="76" t="s">
        <v>137</v>
      </c>
    </row>
    <row r="41" spans="1:6" x14ac:dyDescent="0.25">
      <c r="A41" s="75"/>
      <c r="B41" s="101"/>
      <c r="C41" s="25">
        <f>D2/100</f>
        <v>56</v>
      </c>
      <c r="D41" s="88">
        <f>ROUNDUP(C41,0)</f>
        <v>56</v>
      </c>
      <c r="E41" s="25">
        <f>E2/100</f>
        <v>84</v>
      </c>
      <c r="F41" s="77">
        <f>ROUNDUP(E41,0)</f>
        <v>84</v>
      </c>
    </row>
    <row r="42" spans="1:6" ht="16.5" thickBot="1" x14ac:dyDescent="0.3">
      <c r="A42" s="113"/>
      <c r="B42" s="79" t="s">
        <v>66</v>
      </c>
      <c r="C42" s="91"/>
      <c r="D42" s="80">
        <f>SUM(D41)</f>
        <v>56</v>
      </c>
      <c r="E42" s="80"/>
      <c r="F42" s="81">
        <f>SUM(F41)</f>
        <v>84</v>
      </c>
    </row>
    <row r="43" spans="1:6" ht="16.5" thickTop="1" x14ac:dyDescent="0.25"/>
  </sheetData>
  <sheetProtection algorithmName="SHA-512" hashValue="4nWqOb89qlCzVP6CcXfQEh3pJrfb5A4IZg2F+PHocmr7m6Or9ziZRpeNq/nFne/7rlUMNvoCQPkw6IU7qmS23A==" saltValue="QKgZXWDcn+7In5rJkcxGhw==" spinCount="100000" sheet="1" objects="1" scenarios="1"/>
  <phoneticPr fontId="1" type="noConversion"/>
  <pageMargins left="0.7" right="0.7" top="0.75" bottom="0.75" header="0.3" footer="0.3"/>
  <pageSetup paperSize="9" scale="91" fitToWidth="0" orientation="portrait" r:id="rId1"/>
  <colBreaks count="1" manualBreakCount="1">
    <brk id="6" max="4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view="pageBreakPreview" zoomScaleNormal="100" zoomScaleSheetLayoutView="100" workbookViewId="0">
      <pane ySplit="2" topLeftCell="A3" activePane="bottomLeft" state="frozen"/>
      <selection pane="bottomLeft" activeCell="F2" sqref="F2"/>
    </sheetView>
  </sheetViews>
  <sheetFormatPr defaultRowHeight="15.75" x14ac:dyDescent="0.25"/>
  <cols>
    <col min="1" max="1" width="9" style="3"/>
    <col min="2" max="3" width="24.375" style="3" customWidth="1"/>
    <col min="4" max="4" width="15.125" style="3" customWidth="1"/>
    <col min="5" max="5" width="18.125" style="3" customWidth="1"/>
    <col min="6" max="6" width="10.25" style="3" customWidth="1"/>
    <col min="7" max="16384" width="9" style="3"/>
  </cols>
  <sheetData>
    <row r="1" spans="1:8" x14ac:dyDescent="0.25">
      <c r="B1" s="61" t="s">
        <v>3</v>
      </c>
      <c r="C1" s="62" t="s">
        <v>0</v>
      </c>
      <c r="D1" s="62" t="s">
        <v>1</v>
      </c>
      <c r="E1" s="63" t="s">
        <v>2</v>
      </c>
    </row>
    <row r="2" spans="1:8" x14ac:dyDescent="0.25">
      <c r="B2" s="64" t="s">
        <v>441</v>
      </c>
      <c r="C2" s="65">
        <f>Calculator!I49</f>
        <v>4000</v>
      </c>
      <c r="D2" s="65">
        <f>Calculator!K49</f>
        <v>1600</v>
      </c>
      <c r="E2" s="66">
        <f>Calculator!M49</f>
        <v>2400</v>
      </c>
    </row>
    <row r="5" spans="1:8" x14ac:dyDescent="0.25">
      <c r="A5" s="69"/>
      <c r="B5" s="68" t="s">
        <v>352</v>
      </c>
      <c r="C5" s="69"/>
      <c r="D5" s="69"/>
      <c r="E5" s="69"/>
      <c r="F5" s="69"/>
      <c r="G5" s="69"/>
      <c r="H5" s="69"/>
    </row>
    <row r="6" spans="1:8" x14ac:dyDescent="0.25">
      <c r="A6" s="69"/>
      <c r="B6" s="68" t="s">
        <v>355</v>
      </c>
      <c r="C6" s="69"/>
      <c r="D6" s="69"/>
      <c r="E6" s="69"/>
      <c r="F6" s="69"/>
      <c r="G6" s="69"/>
      <c r="H6" s="69"/>
    </row>
    <row r="7" spans="1:8" x14ac:dyDescent="0.25">
      <c r="A7" s="69"/>
      <c r="B7" s="110" t="s">
        <v>194</v>
      </c>
      <c r="C7" s="110" t="s">
        <v>195</v>
      </c>
      <c r="D7" s="69"/>
      <c r="E7" s="69"/>
      <c r="F7" s="69"/>
      <c r="G7" s="69"/>
      <c r="H7" s="69"/>
    </row>
    <row r="8" spans="1:8" ht="31.5" x14ac:dyDescent="0.25">
      <c r="A8" s="69"/>
      <c r="B8" s="85" t="s">
        <v>242</v>
      </c>
      <c r="C8" s="85" t="s">
        <v>245</v>
      </c>
      <c r="D8" s="69"/>
      <c r="E8" s="69"/>
      <c r="F8" s="69"/>
      <c r="G8" s="69"/>
      <c r="H8" s="69"/>
    </row>
    <row r="9" spans="1:8" ht="46.5" customHeight="1" x14ac:dyDescent="0.25">
      <c r="A9" s="71">
        <v>1</v>
      </c>
      <c r="B9" s="85" t="s">
        <v>353</v>
      </c>
      <c r="C9" s="85" t="s">
        <v>354</v>
      </c>
      <c r="D9" s="69"/>
      <c r="E9" s="69"/>
      <c r="F9" s="69"/>
      <c r="G9" s="69"/>
      <c r="H9" s="69"/>
    </row>
    <row r="11" spans="1:8" ht="16.5" thickBot="1" x14ac:dyDescent="0.3"/>
    <row r="12" spans="1:8" ht="16.5" thickTop="1" x14ac:dyDescent="0.25">
      <c r="A12" s="1" t="s">
        <v>36</v>
      </c>
      <c r="B12" s="73" t="s">
        <v>364</v>
      </c>
      <c r="C12" s="2"/>
      <c r="D12" s="2"/>
      <c r="E12" s="2"/>
      <c r="F12" s="74"/>
    </row>
    <row r="13" spans="1:8" ht="31.5" x14ac:dyDescent="0.25">
      <c r="A13" s="112"/>
      <c r="B13" s="38"/>
      <c r="C13" s="25" t="s">
        <v>38</v>
      </c>
      <c r="D13" s="87" t="s">
        <v>40</v>
      </c>
      <c r="E13" s="25" t="s">
        <v>369</v>
      </c>
      <c r="F13" s="76" t="s">
        <v>52</v>
      </c>
    </row>
    <row r="14" spans="1:8" x14ac:dyDescent="0.25">
      <c r="A14" s="75"/>
      <c r="B14" s="101"/>
      <c r="C14" s="25">
        <f>D2/150</f>
        <v>10.666666666666666</v>
      </c>
      <c r="D14" s="88">
        <f>ROUNDUP(C14,0)</f>
        <v>11</v>
      </c>
      <c r="E14" s="25">
        <f>D2/150</f>
        <v>10.666666666666666</v>
      </c>
      <c r="F14" s="77">
        <f>ROUNDUP(E14,0)</f>
        <v>11</v>
      </c>
    </row>
    <row r="15" spans="1:8" ht="16.5" thickBot="1" x14ac:dyDescent="0.3">
      <c r="A15" s="113"/>
      <c r="B15" s="79" t="s">
        <v>66</v>
      </c>
      <c r="C15" s="82"/>
      <c r="D15" s="80">
        <f>SUM(D14)</f>
        <v>11</v>
      </c>
      <c r="E15" s="82"/>
      <c r="F15" s="81">
        <f>SUM(F14)</f>
        <v>11</v>
      </c>
    </row>
    <row r="16" spans="1:8" ht="16.5" thickTop="1" x14ac:dyDescent="0.25"/>
    <row r="19" spans="1:7" x14ac:dyDescent="0.25">
      <c r="A19" s="69"/>
      <c r="B19" s="68" t="s">
        <v>356</v>
      </c>
      <c r="C19" s="69"/>
      <c r="D19" s="69"/>
      <c r="E19" s="69"/>
      <c r="F19" s="69"/>
      <c r="G19" s="69"/>
    </row>
    <row r="20" spans="1:7" x14ac:dyDescent="0.25">
      <c r="A20" s="69"/>
      <c r="B20" s="68" t="s">
        <v>357</v>
      </c>
      <c r="C20" s="69"/>
      <c r="D20" s="69"/>
      <c r="E20" s="69"/>
      <c r="F20" s="69"/>
      <c r="G20" s="69"/>
    </row>
    <row r="21" spans="1:7" x14ac:dyDescent="0.25">
      <c r="A21" s="71">
        <v>1</v>
      </c>
      <c r="B21" s="69" t="s">
        <v>358</v>
      </c>
      <c r="C21" s="69"/>
      <c r="D21" s="69"/>
      <c r="E21" s="69"/>
      <c r="F21" s="69"/>
      <c r="G21" s="69"/>
    </row>
    <row r="23" spans="1:7" ht="16.5" thickBot="1" x14ac:dyDescent="0.3"/>
    <row r="24" spans="1:7" ht="16.5" thickTop="1" x14ac:dyDescent="0.25">
      <c r="A24" s="1" t="s">
        <v>36</v>
      </c>
      <c r="B24" s="73" t="s">
        <v>364</v>
      </c>
      <c r="C24" s="2"/>
      <c r="D24" s="74"/>
    </row>
    <row r="25" spans="1:7" ht="31.5" x14ac:dyDescent="0.25">
      <c r="A25" s="112"/>
      <c r="B25" s="38"/>
      <c r="C25" s="25" t="s">
        <v>39</v>
      </c>
      <c r="D25" s="76" t="s">
        <v>41</v>
      </c>
    </row>
    <row r="26" spans="1:7" x14ac:dyDescent="0.25">
      <c r="A26" s="75"/>
      <c r="B26" s="101"/>
      <c r="C26" s="25">
        <f>E2/75</f>
        <v>32</v>
      </c>
      <c r="D26" s="77">
        <f>ROUNDUP(C26,0)</f>
        <v>32</v>
      </c>
    </row>
    <row r="27" spans="1:7" ht="16.5" thickBot="1" x14ac:dyDescent="0.3">
      <c r="A27" s="113"/>
      <c r="B27" s="79" t="s">
        <v>66</v>
      </c>
      <c r="C27" s="82"/>
      <c r="D27" s="81">
        <f>SUM(D26)</f>
        <v>32</v>
      </c>
    </row>
    <row r="28" spans="1:7" ht="16.5" thickTop="1" x14ac:dyDescent="0.25"/>
    <row r="31" spans="1:7" x14ac:dyDescent="0.25">
      <c r="A31" s="69"/>
      <c r="B31" s="68" t="s">
        <v>359</v>
      </c>
      <c r="C31" s="68"/>
      <c r="D31" s="69"/>
      <c r="E31" s="69"/>
    </row>
    <row r="32" spans="1:7" x14ac:dyDescent="0.25">
      <c r="A32" s="69"/>
      <c r="B32" s="68" t="s">
        <v>360</v>
      </c>
      <c r="C32" s="69"/>
      <c r="D32" s="69"/>
      <c r="E32" s="69"/>
    </row>
    <row r="33" spans="1:6" x14ac:dyDescent="0.25">
      <c r="A33" s="69"/>
      <c r="B33" s="110" t="s">
        <v>181</v>
      </c>
      <c r="C33" s="110" t="s">
        <v>343</v>
      </c>
      <c r="D33" s="69"/>
      <c r="E33" s="69"/>
    </row>
    <row r="34" spans="1:6" ht="31.5" x14ac:dyDescent="0.25">
      <c r="A34" s="69"/>
      <c r="B34" s="85" t="s">
        <v>361</v>
      </c>
      <c r="C34" s="85" t="s">
        <v>345</v>
      </c>
      <c r="D34" s="69"/>
      <c r="E34" s="69"/>
    </row>
    <row r="35" spans="1:6" ht="39" customHeight="1" x14ac:dyDescent="0.25">
      <c r="A35" s="71">
        <v>1</v>
      </c>
      <c r="B35" s="86" t="s">
        <v>348</v>
      </c>
      <c r="C35" s="85" t="s">
        <v>362</v>
      </c>
      <c r="D35" s="69"/>
      <c r="E35" s="69"/>
    </row>
    <row r="36" spans="1:6" ht="39" customHeight="1" x14ac:dyDescent="0.25">
      <c r="A36" s="71">
        <v>2</v>
      </c>
      <c r="B36" s="86" t="s">
        <v>349</v>
      </c>
      <c r="C36" s="85" t="s">
        <v>363</v>
      </c>
      <c r="D36" s="69"/>
      <c r="E36" s="69"/>
    </row>
    <row r="38" spans="1:6" ht="16.5" thickBot="1" x14ac:dyDescent="0.3"/>
    <row r="39" spans="1:6" ht="16.5" thickTop="1" x14ac:dyDescent="0.25">
      <c r="A39" s="1" t="s">
        <v>36</v>
      </c>
      <c r="B39" s="73" t="s">
        <v>364</v>
      </c>
      <c r="C39" s="2"/>
      <c r="D39" s="2"/>
      <c r="E39" s="2"/>
      <c r="F39" s="74"/>
    </row>
    <row r="40" spans="1:6" ht="31.5" x14ac:dyDescent="0.25">
      <c r="A40" s="75"/>
      <c r="B40" s="38"/>
      <c r="C40" s="25" t="s">
        <v>134</v>
      </c>
      <c r="D40" s="87" t="s">
        <v>135</v>
      </c>
      <c r="E40" s="25" t="s">
        <v>136</v>
      </c>
      <c r="F40" s="76" t="s">
        <v>137</v>
      </c>
    </row>
    <row r="41" spans="1:6" x14ac:dyDescent="0.25">
      <c r="A41" s="75"/>
      <c r="B41" s="101"/>
      <c r="C41" s="25">
        <f>D2/300</f>
        <v>5.333333333333333</v>
      </c>
      <c r="D41" s="88">
        <f>ROUNDUP(C41,0)</f>
        <v>6</v>
      </c>
      <c r="E41" s="25">
        <f>E2/300</f>
        <v>8</v>
      </c>
      <c r="F41" s="77">
        <f>ROUNDUP(E41,0)</f>
        <v>8</v>
      </c>
    </row>
    <row r="42" spans="1:6" ht="16.5" thickBot="1" x14ac:dyDescent="0.3">
      <c r="A42" s="113"/>
      <c r="B42" s="79" t="s">
        <v>66</v>
      </c>
      <c r="C42" s="91"/>
      <c r="D42" s="80">
        <f>SUM(D41)</f>
        <v>6</v>
      </c>
      <c r="E42" s="80"/>
      <c r="F42" s="81">
        <f>SUM(F41)</f>
        <v>8</v>
      </c>
    </row>
    <row r="43" spans="1:6" ht="16.5" thickTop="1" x14ac:dyDescent="0.25"/>
  </sheetData>
  <sheetProtection algorithmName="SHA-512" hashValue="N4idqSIU4qEL2AFqSTOpMnWLKA4FE0WdFrnOO/jLYKpfDRfMdo1GOAbbzHRWa8U9tzqOO01UdKZdmYldTf020A==" saltValue="IAXKy9WHNyxcAyDLiUg34g==" spinCount="100000" sheet="1" objects="1" scenarios="1"/>
  <phoneticPr fontId="1" type="noConversion"/>
  <pageMargins left="0.7" right="0.7" top="0.75" bottom="0.75" header="0.3" footer="0.3"/>
  <pageSetup paperSize="9" scale="86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已命名的範圍</vt:lpstr>
      </vt:variant>
      <vt:variant>
        <vt:i4>15</vt:i4>
      </vt:variant>
    </vt:vector>
  </HeadingPairs>
  <TitlesOfParts>
    <vt:vector size="25" baseType="lpstr">
      <vt:lpstr>Calculator</vt:lpstr>
      <vt:lpstr>Residential</vt:lpstr>
      <vt:lpstr>Workplace</vt:lpstr>
      <vt:lpstr>PPE</vt:lpstr>
      <vt:lpstr>Sports Stadia</vt:lpstr>
      <vt:lpstr>Cinemas</vt:lpstr>
      <vt:lpstr>Arcades</vt:lpstr>
      <vt:lpstr>Religious Institution</vt:lpstr>
      <vt:lpstr>Funeral Parlours</vt:lpstr>
      <vt:lpstr>Restaurants</vt:lpstr>
      <vt:lpstr>Arcades!Print_Area</vt:lpstr>
      <vt:lpstr>Calculator!Print_Area</vt:lpstr>
      <vt:lpstr>Cinemas!Print_Area</vt:lpstr>
      <vt:lpstr>'Funeral Parlours'!Print_Area</vt:lpstr>
      <vt:lpstr>PPE!Print_Area</vt:lpstr>
      <vt:lpstr>'Religious Institution'!Print_Area</vt:lpstr>
      <vt:lpstr>Residential!Print_Area</vt:lpstr>
      <vt:lpstr>Restaurants!Print_Area</vt:lpstr>
      <vt:lpstr>'Sports Stadia'!Print_Area</vt:lpstr>
      <vt:lpstr>Arcades!Print_Titles</vt:lpstr>
      <vt:lpstr>Cinemas!Print_Titles</vt:lpstr>
      <vt:lpstr>Residential!Print_Titles</vt:lpstr>
      <vt:lpstr>Restaurants!Print_Titles</vt:lpstr>
      <vt:lpstr>'Sports Stadia'!Print_Titles</vt:lpstr>
      <vt:lpstr>Workplace!Print_Titles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 CHUN SANG</dc:creator>
  <cp:lastModifiedBy>WONG Yuen-shun, Iris, BS/MW1</cp:lastModifiedBy>
  <cp:lastPrinted>2022-10-02T10:06:41Z</cp:lastPrinted>
  <dcterms:created xsi:type="dcterms:W3CDTF">2015-11-27T09:26:54Z</dcterms:created>
  <dcterms:modified xsi:type="dcterms:W3CDTF">2022-10-03T01:09:34Z</dcterms:modified>
</cp:coreProperties>
</file>